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5" activeTab="2"/>
  </bookViews>
  <sheets>
    <sheet name="Форма_1" sheetId="1" r:id="rId1"/>
    <sheet name="Форма_2" sheetId="2" r:id="rId2"/>
    <sheet name="Форма_3" sheetId="3" r:id="rId3"/>
  </sheets>
  <definedNames>
    <definedName name="_xlnm.Print_Titles" localSheetId="0">'Форма_1'!$12:$12</definedName>
    <definedName name="_xlnm.Print_Titles" localSheetId="1">'Форма_2'!$13:$13</definedName>
  </definedNames>
  <calcPr fullCalcOnLoad="1"/>
</workbook>
</file>

<file path=xl/comments2.xml><?xml version="1.0" encoding="utf-8"?>
<comments xmlns="http://schemas.openxmlformats.org/spreadsheetml/2006/main">
  <authors>
    <author>Economy12</author>
  </authors>
  <commentList>
    <comment ref="B16" authorId="0">
      <text>
        <r>
          <rPr>
            <b/>
            <sz val="8"/>
            <rFont val="Tahoma"/>
            <family val="0"/>
          </rPr>
          <t>Economy12:</t>
        </r>
        <r>
          <rPr>
            <sz val="8"/>
            <rFont val="Tahoma"/>
            <family val="0"/>
          </rPr>
          <t xml:space="preserve">
"Услуги связи" отражает расходы по оплате услуг связи, в том числе оплату использования телефонных, телеграфных каналов связи (в том числе регистрация сокращенных телеграфных адресов), каналов передачи данных (информации), услуг почтовой связи (в т.ч. оплата услуг фельдъегерской и специальной связи), документальной электросвязи, радиосвязи и мобильных телесистем, сотовой и пейджинговой связи, глобальной информационной сети Интернет, соединительных, специальных и прямых линий связи, а также расходы, связанные с предоставлением доступа к каналам связи (установка телефонов и других средств связи).</t>
        </r>
      </text>
    </comment>
    <comment ref="B17" authorId="0">
      <text>
        <r>
          <rPr>
            <b/>
            <sz val="8"/>
            <rFont val="Tahoma"/>
            <family val="0"/>
          </rPr>
          <t>Economy12:</t>
        </r>
        <r>
          <rPr>
            <sz val="8"/>
            <rFont val="Tahoma"/>
            <family val="0"/>
          </rPr>
          <t xml:space="preserve">
"Транспортные услуги" отражает расходы по оплате транспортных услуг, оказываемых сторонними организациями, в том числе оплату: найма транспортных средств, услуг по пассажирским и грузовым перевозкам; транспортных расходов по служебным командировкам; стоимости переезда и иных транспортных расходов, осуществляемых в соответствии с законодательством Российской Федерации и связанных с перемещением работников, военнослужащих и членов их семей к месту работы (службы), месту жительства; оплатой стоимости переезда к месту жительства осужденных, освобождаемых от ограничения свободы, ареста или лишения свободы на определенный срок, а также другие транспортные услуги (за исключением расходов на обязательное страхование гражданской ответственности владельцев транспортных средств).</t>
        </r>
      </text>
    </comment>
    <comment ref="B18" authorId="0">
      <text>
        <r>
          <rPr>
            <b/>
            <sz val="8"/>
            <rFont val="Tahoma"/>
            <family val="0"/>
          </rPr>
          <t>Economy12:</t>
        </r>
        <r>
          <rPr>
            <sz val="8"/>
            <rFont val="Tahoma"/>
            <family val="0"/>
          </rPr>
          <t xml:space="preserve">
"Коммунальные услуги" отражает расходы по оплате коммунальных услуг, в том числе оплату отопления, в том числе технологических нужд; потребления газа (включая его транспортировку по газораспределительным сетям и плату за снабженческо-сбытовые услуги); потребления электроэнергии для хозяйственных, производственных, технических, лечебных, научных, учебных и других целей; водоснабжения (в том числе горячего), канализации, ассенизации.</t>
        </r>
      </text>
    </comment>
  </commentList>
</comments>
</file>

<file path=xl/sharedStrings.xml><?xml version="1.0" encoding="utf-8"?>
<sst xmlns="http://schemas.openxmlformats.org/spreadsheetml/2006/main" count="282" uniqueCount="146">
  <si>
    <t> (единиц)</t>
  </si>
  <si>
    <t>№ строки</t>
  </si>
  <si>
    <t>Всего по торгам и другим способам закупок</t>
  </si>
  <si>
    <t>В том числе</t>
  </si>
  <si>
    <t>по видам торгов</t>
  </si>
  <si>
    <t>конкурсы</t>
  </si>
  <si>
    <t>аукционы</t>
  </si>
  <si>
    <t>путем запроса котировок</t>
  </si>
  <si>
    <t>у единственного источника</t>
  </si>
  <si>
    <t>на товарных биржах</t>
  </si>
  <si>
    <t>закупки малого объема</t>
  </si>
  <si>
    <t>открытые</t>
  </si>
  <si>
    <t>закрытые</t>
  </si>
  <si>
    <t>из них в электронной форме</t>
  </si>
  <si>
    <t xml:space="preserve">2. Количество заключенных контрактов и сделок    </t>
  </si>
  <si>
    <t>из них по результатам     торгов, проведенных в электронной форме</t>
  </si>
  <si>
    <t xml:space="preserve">1. Общее количество заявок, поданных для участия в торгах (лотах) и закупках   </t>
  </si>
  <si>
    <t>из них в торгах, проведенных в электронной форме</t>
  </si>
  <si>
    <t>Х</t>
  </si>
  <si>
    <t>3. Отозвано заявок участниками торгов и закупок</t>
  </si>
  <si>
    <t xml:space="preserve">5. Количество обжалований по размещению заказов          </t>
  </si>
  <si>
    <t>3. Общая стоимость заключенных контрактов и сделок</t>
  </si>
  <si>
    <t>из них по торгам, проведенным в электронной форме</t>
  </si>
  <si>
    <t>Наименование показателей</t>
  </si>
  <si>
    <t xml:space="preserve">                  (тыс. рублей)</t>
  </si>
  <si>
    <t>всего</t>
  </si>
  <si>
    <t>Приобретение услуг</t>
  </si>
  <si>
    <t>Оплата услуг связи</t>
  </si>
  <si>
    <t>Транспортные услуги</t>
  </si>
  <si>
    <t>Оплата коммунальных услуг</t>
  </si>
  <si>
    <t>Арендная плата за пользование имуществом</t>
  </si>
  <si>
    <t>Оплата содержания помещений</t>
  </si>
  <si>
    <t>Прочие услуги</t>
  </si>
  <si>
    <t>Безвозвратные и безвозмездные перечисления государственным и муниципальным организациям</t>
  </si>
  <si>
    <t>Безвозвратные и безвозмездные перечисления  организациям, за исключением государственных и муниципальных</t>
  </si>
  <si>
    <t>Пособия по социальной помощи населению</t>
  </si>
  <si>
    <t>Прочие расходы</t>
  </si>
  <si>
    <t>Поступление нефинансовых активов</t>
  </si>
  <si>
    <t>Увеличение стоимости основных средств</t>
  </si>
  <si>
    <t>Увеличение стоимости нематериальных активов</t>
  </si>
  <si>
    <t>Увеличение стоимости материальных активов</t>
  </si>
  <si>
    <t>ИТОГО РАСХОДОВ</t>
  </si>
  <si>
    <t>Текущие расходы</t>
  </si>
  <si>
    <t>Перечень закупаемой продукции в соответствии с экономической классификацией расходов бюджетов Российской Федерации</t>
  </si>
  <si>
    <t>в том числе из республи-канского (местного) бюджета</t>
  </si>
  <si>
    <t>в том числе из респуб-ликанского (местного) бюджета</t>
  </si>
  <si>
    <t>х</t>
  </si>
  <si>
    <t>(наименование государственного /муниципального/ заказчика)</t>
  </si>
  <si>
    <t xml:space="preserve">о размещении государственного /муниципального/ заказа Чувашской Республики </t>
  </si>
  <si>
    <t xml:space="preserve">о сводном объеме государственного /муниципального/ заказа Чувашской Республики </t>
  </si>
  <si>
    <t>без проведения торгов</t>
  </si>
  <si>
    <t>по способам размещения заказов</t>
  </si>
  <si>
    <t xml:space="preserve">с организациями инвалидов   </t>
  </si>
  <si>
    <t>по решению суда</t>
  </si>
  <si>
    <t>I. Количественная характеристика торгов и других способов размещения заказов</t>
  </si>
  <si>
    <t>II. Количественная характеристика участников торгов и других способов размещения заказов</t>
  </si>
  <si>
    <t>III. Стоимостная характеристика торгов и других способов размещения заказов, тыс. рублей</t>
  </si>
  <si>
    <t xml:space="preserve">заявок организаций инвалидов   </t>
  </si>
  <si>
    <t>4. Количество заявок участников, выигравших торги  (лоты) и другие способы размещения заказов</t>
  </si>
  <si>
    <t>из них, выигравших торги, проведенные в электронной форме</t>
  </si>
  <si>
    <t>заявок организаций инвалидов</t>
  </si>
  <si>
    <t>по решению органа по контролю</t>
  </si>
  <si>
    <t xml:space="preserve">1. Суммарная начальная цена контрактов (лотов), выставленных на торги и сумма контрактов (сделок) по другим способам размещения заказов     </t>
  </si>
  <si>
    <t>2. Общая стоимость предложений победителей торгов и других способов размещения заказов</t>
  </si>
  <si>
    <t>с организациями инвалидов</t>
  </si>
  <si>
    <t>в том          числе из респуб-ликанского (местного) бюджета</t>
  </si>
  <si>
    <t>в том числе                                                по субъектам малого предпринимательства</t>
  </si>
  <si>
    <t>по учреждениям уголовно-исполнительной системы</t>
  </si>
  <si>
    <t xml:space="preserve">по организациям инвалидов   </t>
  </si>
  <si>
    <t>закупки у единственного источника</t>
  </si>
  <si>
    <t>с учреждениями УИС</t>
  </si>
  <si>
    <t>Из строки 104 - количество заключенных контрактов и сделок со вторым участником торгов, запросов котировок</t>
  </si>
  <si>
    <t xml:space="preserve">Из строки 201 - заявок отечественных участников торгов       </t>
  </si>
  <si>
    <t>из них:                                                     заявок субъектов малого предпринимательства</t>
  </si>
  <si>
    <t>заявок учреждений УИС</t>
  </si>
  <si>
    <t xml:space="preserve">- участником не внесены денежные средства в качестве обеспечения       </t>
  </si>
  <si>
    <t xml:space="preserve">- заявка не отвечала требованиям, предусмотренным документацией по закупке   </t>
  </si>
  <si>
    <t xml:space="preserve">Из строки 215:                                                                                 заявок отечественных участников торгов          </t>
  </si>
  <si>
    <t>из них:                                                          заявок субъектов малого предпринимательства</t>
  </si>
  <si>
    <t>в том числе:                                                         по решению суда</t>
  </si>
  <si>
    <t>Из строки 101 - проведено совместных торгов</t>
  </si>
  <si>
    <t>2. Не допущено заявок к  участию в торгах (лотах) и  закупках</t>
  </si>
  <si>
    <t>Из нее - суммарная начальная цена контрактов (лотов), выставленных на совместные торги</t>
  </si>
  <si>
    <t>Из строки 304 - затраты заказчика на организацию размещения заказов на поставки товаров, выполнение работ, оказание услуг</t>
  </si>
  <si>
    <t>Из строки 304 - заключенных со вторым участником торгов, запросов котировок</t>
  </si>
  <si>
    <t>Из строки 304 - с отечественными участниками торгов</t>
  </si>
  <si>
    <t>из них:                                                             с субъектами малого предпринимательства</t>
  </si>
  <si>
    <t>4. Сумма изменения стоимости заключенных контрактов</t>
  </si>
  <si>
    <t>5. Общая стоимость расторгнутых контрактов и   сделок</t>
  </si>
  <si>
    <t>С В Е Д Е Н И Я</t>
  </si>
  <si>
    <t>Форма № 1</t>
  </si>
  <si>
    <t>Форма № 2</t>
  </si>
  <si>
    <t>по результатам торгов, запросам котировок</t>
  </si>
  <si>
    <t>Фактически закуплено в отчетном периоде</t>
  </si>
  <si>
    <t>при размещении государственного /муниципального/ заказа Чувашской Республики</t>
  </si>
  <si>
    <t>(тыс.рублей)</t>
  </si>
  <si>
    <t>№ п/п</t>
  </si>
  <si>
    <t>Дата закупки</t>
  </si>
  <si>
    <t>Вид закупки</t>
  </si>
  <si>
    <t xml:space="preserve">Стоимость заключенного  контракта          </t>
  </si>
  <si>
    <t>Бюджетная эффективность абсолютная         (гр.5 - гр.6 - гр.7)</t>
  </si>
  <si>
    <t>ВСЕГО</t>
  </si>
  <si>
    <t xml:space="preserve"> </t>
  </si>
  <si>
    <t>Форма № 3</t>
  </si>
  <si>
    <t>1. Всего проведено торгов (лотов) и других способов размещения заказов</t>
  </si>
  <si>
    <t xml:space="preserve">Из строки 104 - количество заключенных контрактов и сделок с отечественными участниками торгов  </t>
  </si>
  <si>
    <t>из них:                                                                с субъектами малого предпринимательства</t>
  </si>
  <si>
    <t>в том числе:                                                      по соглашению сторон</t>
  </si>
  <si>
    <t>Из строки 201 - количество заявок, поданных для участия в совместных торгах</t>
  </si>
  <si>
    <t>Из строки 208 - по причинам:                                                    - участником представлены  недостоверные сведения или не представлены документы, определенные Законом</t>
  </si>
  <si>
    <t xml:space="preserve">- участник не отвечал требованиям, установленным Законом  </t>
  </si>
  <si>
    <t>по результа-там несостоявш. торгов, запросов котировок</t>
  </si>
  <si>
    <t>3. Заключено дополнительных соглашений, изменений к контрактам, договорам</t>
  </si>
  <si>
    <t>4. Расторгнуто контрактов и сделок</t>
  </si>
  <si>
    <t>Начальная цена контракта, выставленная заказчиком</t>
  </si>
  <si>
    <r>
      <t>Предмет закупки</t>
    </r>
    <r>
      <rPr>
        <b/>
        <sz val="12"/>
        <color indexed="60"/>
        <rFont val="Times New Roman"/>
        <family val="1"/>
      </rPr>
      <t>**</t>
    </r>
  </si>
  <si>
    <t>Затраты заказчика на организацию и проведение торгов</t>
  </si>
  <si>
    <t>Бюджетная эффективность относительная (гр.8 : гр.5)х100</t>
  </si>
  <si>
    <t>Объем закупаемой продукции                                          на 2009 год</t>
  </si>
  <si>
    <t xml:space="preserve">5. Количество размещений заказов, признанных недействительными </t>
  </si>
  <si>
    <r>
      <t>Расчет бюджетной эффективности</t>
    </r>
    <r>
      <rPr>
        <sz val="12"/>
        <color indexed="60"/>
        <rFont val="Times New Roman"/>
        <family val="1"/>
      </rPr>
      <t xml:space="preserve">*   </t>
    </r>
  </si>
  <si>
    <r>
      <t xml:space="preserve">по </t>
    </r>
    <r>
      <rPr>
        <b/>
        <u val="single"/>
        <sz val="10"/>
        <color indexed="18"/>
        <rFont val="Times New Roman"/>
        <family val="1"/>
      </rPr>
      <t>Яльчикскому району</t>
    </r>
  </si>
  <si>
    <t>по Яльчикскому району</t>
  </si>
  <si>
    <t>по Яльчикскму району</t>
  </si>
  <si>
    <t>ОА</t>
  </si>
  <si>
    <t>КЦ</t>
  </si>
  <si>
    <r>
      <t xml:space="preserve">за девять месяцев </t>
    </r>
    <r>
      <rPr>
        <b/>
        <sz val="10"/>
        <color indexed="18"/>
        <rFont val="Times New Roman"/>
        <family val="1"/>
      </rPr>
      <t>2009 года</t>
    </r>
  </si>
  <si>
    <t>Ультрозвуковой сканер среднего класса SA-X6 или аналог</t>
  </si>
  <si>
    <t xml:space="preserve">Ремонт системы лечебного газоснабжения ренимационного отделения </t>
  </si>
  <si>
    <t>Датчик фазированный</t>
  </si>
  <si>
    <t>КАРДИОЛОГИЧЕСКИЕ ОПЦИИ К узи-сканер SA-X6</t>
  </si>
  <si>
    <t>Поставка расходных материалов, одноразового мягкого инвентаря</t>
  </si>
  <si>
    <t>Газ сжижженный для зправки автомашин</t>
  </si>
  <si>
    <t>Ремонт автодороги</t>
  </si>
  <si>
    <r>
      <t>за  девять месяцев</t>
    </r>
    <r>
      <rPr>
        <sz val="10"/>
        <color indexed="18"/>
        <rFont val="Times New Roman"/>
        <family val="1"/>
      </rPr>
      <t xml:space="preserve"> </t>
    </r>
    <r>
      <rPr>
        <b/>
        <sz val="10"/>
        <color indexed="18"/>
        <rFont val="Times New Roman"/>
        <family val="1"/>
      </rPr>
      <t>2009</t>
    </r>
    <r>
      <rPr>
        <sz val="10"/>
        <color indexed="18"/>
        <rFont val="Times New Roman"/>
        <family val="1"/>
      </rPr>
      <t xml:space="preserve"> </t>
    </r>
    <r>
      <rPr>
        <b/>
        <sz val="10"/>
        <color indexed="18"/>
        <rFont val="Times New Roman"/>
        <family val="1"/>
      </rPr>
      <t>года</t>
    </r>
  </si>
  <si>
    <t xml:space="preserve">Разработка проектно-сметной документации </t>
  </si>
  <si>
    <t>Строительство канализационной сети в с. Яльчики</t>
  </si>
  <si>
    <t>Сжижженый газ для заправки автомашин</t>
  </si>
  <si>
    <t>Ингаляционный аппарат</t>
  </si>
  <si>
    <t>Лекарственные средства</t>
  </si>
  <si>
    <t>Колоноскоп КБ-ВО-Г</t>
  </si>
  <si>
    <t>Реконструкция здания котельной</t>
  </si>
  <si>
    <t>Благоустройствао территории МУЗ Яльчикская ЦРБ</t>
  </si>
  <si>
    <t>за девять месяцев 2009 года</t>
  </si>
  <si>
    <t xml:space="preserve">Администрация Яльчикского района </t>
  </si>
  <si>
    <t>Муз "Яльчикскя ЦРБ"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</si>
</sst>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_ ;[Red]\-#,##0.0\ "/>
    <numFmt numFmtId="168" formatCode="0.0"/>
  </numFmts>
  <fonts count="34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8"/>
      <name val="Tahoma"/>
      <family val="0"/>
    </font>
    <font>
      <sz val="8"/>
      <name val="Tahoma"/>
      <family val="0"/>
    </font>
    <font>
      <b/>
      <sz val="10"/>
      <color indexed="18"/>
      <name val="Times New Roman"/>
      <family val="1"/>
    </font>
    <font>
      <sz val="10"/>
      <color indexed="18"/>
      <name val="Times New Roman"/>
      <family val="1"/>
    </font>
    <font>
      <sz val="10"/>
      <color indexed="1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color indexed="18"/>
      <name val="Times New Roman"/>
      <family val="1"/>
    </font>
    <font>
      <sz val="12"/>
      <color indexed="10"/>
      <name val="Times New Roman"/>
      <family val="1"/>
    </font>
    <font>
      <b/>
      <sz val="14"/>
      <color indexed="60"/>
      <name val="Times New Roman"/>
      <family val="1"/>
    </font>
    <font>
      <sz val="12"/>
      <color indexed="60"/>
      <name val="Times New Roman"/>
      <family val="1"/>
    </font>
    <font>
      <b/>
      <sz val="12"/>
      <color indexed="60"/>
      <name val="Times New Roman"/>
      <family val="1"/>
    </font>
    <font>
      <b/>
      <u val="single"/>
      <sz val="10"/>
      <color indexed="18"/>
      <name val="Times New Roman"/>
      <family val="1"/>
    </font>
    <font>
      <b/>
      <sz val="8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0" fillId="21" borderId="7" applyNumberFormat="0" applyAlignment="0" applyProtection="0"/>
    <xf numFmtId="0" fontId="9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4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horizontal="justify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justify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justify" vertical="top" wrapText="1"/>
    </xf>
    <xf numFmtId="0" fontId="1" fillId="0" borderId="15" xfId="0" applyFont="1" applyBorder="1" applyAlignment="1">
      <alignment horizontal="center" vertical="center" wrapText="1"/>
    </xf>
    <xf numFmtId="0" fontId="1" fillId="0" borderId="15" xfId="0" applyFont="1" applyBorder="1" applyAlignment="1">
      <alignment vertical="top" wrapText="1"/>
    </xf>
    <xf numFmtId="0" fontId="1" fillId="0" borderId="15" xfId="0" applyFont="1" applyBorder="1" applyAlignment="1">
      <alignment horizontal="center" vertical="top"/>
    </xf>
    <xf numFmtId="0" fontId="1" fillId="0" borderId="15" xfId="0" applyFont="1" applyBorder="1" applyAlignment="1">
      <alignment vertical="top"/>
    </xf>
    <xf numFmtId="0" fontId="1" fillId="0" borderId="12" xfId="0" applyFont="1" applyBorder="1" applyAlignment="1">
      <alignment horizontal="center" vertical="center"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6" fillId="0" borderId="10" xfId="0" applyFont="1" applyFill="1" applyBorder="1" applyAlignment="1" applyProtection="1">
      <alignment vertical="top" wrapText="1"/>
      <protection/>
    </xf>
    <xf numFmtId="0" fontId="1" fillId="0" borderId="18" xfId="0" applyFont="1" applyBorder="1" applyAlignment="1" applyProtection="1">
      <alignment horizontal="center" vertical="top" wrapText="1"/>
      <protection/>
    </xf>
    <xf numFmtId="0" fontId="1" fillId="0" borderId="19" xfId="0" applyFont="1" applyBorder="1" applyAlignment="1" applyProtection="1">
      <alignment vertical="top" wrapText="1"/>
      <protection/>
    </xf>
    <xf numFmtId="0" fontId="1" fillId="0" borderId="20" xfId="0" applyFont="1" applyBorder="1" applyAlignment="1" applyProtection="1">
      <alignment horizontal="center" vertical="top" wrapText="1"/>
      <protection/>
    </xf>
    <xf numFmtId="0" fontId="1" fillId="0" borderId="11" xfId="0" applyFont="1" applyBorder="1" applyAlignment="1" applyProtection="1">
      <alignment vertical="top" wrapText="1"/>
      <protection/>
    </xf>
    <xf numFmtId="0" fontId="6" fillId="0" borderId="18" xfId="0" applyFont="1" applyBorder="1" applyAlignment="1" applyProtection="1">
      <alignment horizontal="center" vertical="top" wrapText="1"/>
      <protection/>
    </xf>
    <xf numFmtId="0" fontId="7" fillId="0" borderId="19" xfId="0" applyFont="1" applyBorder="1" applyAlignment="1" applyProtection="1">
      <alignment vertical="top" wrapText="1"/>
      <protection/>
    </xf>
    <xf numFmtId="0" fontId="1" fillId="0" borderId="21" xfId="0" applyFont="1" applyBorder="1" applyAlignment="1" applyProtection="1">
      <alignment horizontal="center" vertical="top" wrapText="1"/>
      <protection/>
    </xf>
    <xf numFmtId="0" fontId="1" fillId="0" borderId="16" xfId="0" applyFont="1" applyBorder="1" applyAlignment="1" applyProtection="1">
      <alignment vertical="top" wrapText="1"/>
      <protection/>
    </xf>
    <xf numFmtId="0" fontId="1" fillId="0" borderId="15" xfId="0" applyFont="1" applyBorder="1" applyAlignment="1">
      <alignment horizontal="center" vertical="center"/>
    </xf>
    <xf numFmtId="0" fontId="1" fillId="4" borderId="15" xfId="0" applyFont="1" applyFill="1" applyBorder="1" applyAlignment="1">
      <alignment horizontal="center" vertical="center" wrapText="1"/>
    </xf>
    <xf numFmtId="167" fontId="1" fillId="24" borderId="15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2" fillId="4" borderId="16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0" borderId="16" xfId="0" applyFont="1" applyBorder="1" applyAlignment="1">
      <alignment horizontal="left" vertical="center" wrapText="1"/>
    </xf>
    <xf numFmtId="0" fontId="6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168" fontId="1" fillId="0" borderId="16" xfId="0" applyNumberFormat="1" applyFont="1" applyBorder="1" applyAlignment="1">
      <alignment horizontal="center" vertical="center" wrapText="1"/>
    </xf>
    <xf numFmtId="168" fontId="2" fillId="4" borderId="16" xfId="0" applyNumberFormat="1" applyFont="1" applyFill="1" applyBorder="1" applyAlignment="1">
      <alignment horizontal="center" vertical="center" wrapText="1"/>
    </xf>
    <xf numFmtId="168" fontId="1" fillId="0" borderId="15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top" wrapText="1"/>
    </xf>
    <xf numFmtId="49" fontId="1" fillId="0" borderId="15" xfId="0" applyNumberFormat="1" applyFont="1" applyBorder="1" applyAlignment="1">
      <alignment horizontal="justify" vertical="top" wrapText="1"/>
    </xf>
    <xf numFmtId="168" fontId="1" fillId="0" borderId="14" xfId="0" applyNumberFormat="1" applyFont="1" applyBorder="1" applyAlignment="1">
      <alignment horizontal="center" vertical="center" wrapText="1"/>
    </xf>
    <xf numFmtId="0" fontId="26" fillId="0" borderId="0" xfId="0" applyFont="1" applyAlignment="1">
      <alignment/>
    </xf>
    <xf numFmtId="0" fontId="26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26" fillId="0" borderId="0" xfId="0" applyFont="1" applyAlignment="1">
      <alignment horizont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right"/>
    </xf>
    <xf numFmtId="0" fontId="26" fillId="0" borderId="15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top" wrapText="1"/>
    </xf>
    <xf numFmtId="0" fontId="26" fillId="0" borderId="16" xfId="0" applyFont="1" applyBorder="1" applyAlignment="1">
      <alignment horizontal="center" vertical="top" wrapText="1"/>
    </xf>
    <xf numFmtId="0" fontId="26" fillId="0" borderId="15" xfId="0" applyFont="1" applyBorder="1" applyAlignment="1">
      <alignment horizontal="right" vertical="top" wrapText="1"/>
    </xf>
    <xf numFmtId="0" fontId="27" fillId="0" borderId="15" xfId="0" applyFont="1" applyBorder="1" applyAlignment="1">
      <alignment vertical="top" wrapText="1"/>
    </xf>
    <xf numFmtId="0" fontId="26" fillId="0" borderId="15" xfId="0" applyFont="1" applyBorder="1" applyAlignment="1">
      <alignment vertical="top" wrapText="1"/>
    </xf>
    <xf numFmtId="0" fontId="26" fillId="0" borderId="0" xfId="0" applyFont="1" applyAlignment="1">
      <alignment horizontal="justify"/>
    </xf>
    <xf numFmtId="0" fontId="26" fillId="0" borderId="0" xfId="0" applyFont="1" applyAlignment="1">
      <alignment horizontal="center" wrapText="1"/>
    </xf>
    <xf numFmtId="14" fontId="26" fillId="0" borderId="15" xfId="0" applyNumberFormat="1" applyFont="1" applyBorder="1" applyAlignment="1">
      <alignment horizontal="right" vertical="top" wrapText="1"/>
    </xf>
    <xf numFmtId="0" fontId="26" fillId="0" borderId="15" xfId="0" applyFont="1" applyBorder="1" applyAlignment="1">
      <alignment horizontal="center" vertical="top" wrapText="1"/>
    </xf>
    <xf numFmtId="14" fontId="26" fillId="0" borderId="15" xfId="0" applyNumberFormat="1" applyFont="1" applyBorder="1" applyAlignment="1">
      <alignment horizontal="center" vertical="top" wrapText="1"/>
    </xf>
    <xf numFmtId="168" fontId="26" fillId="0" borderId="15" xfId="0" applyNumberFormat="1" applyFont="1" applyBorder="1" applyAlignment="1">
      <alignment horizontal="right" vertical="top" wrapText="1"/>
    </xf>
    <xf numFmtId="0" fontId="1" fillId="0" borderId="18" xfId="0" applyFont="1" applyBorder="1" applyAlignment="1">
      <alignment horizontal="center" vertical="top"/>
    </xf>
    <xf numFmtId="0" fontId="1" fillId="0" borderId="22" xfId="0" applyFont="1" applyBorder="1" applyAlignment="1">
      <alignment horizontal="center" vertical="top"/>
    </xf>
    <xf numFmtId="0" fontId="1" fillId="0" borderId="19" xfId="0" applyFont="1" applyBorder="1" applyAlignment="1">
      <alignment horizontal="center" vertical="top"/>
    </xf>
    <xf numFmtId="0" fontId="1" fillId="0" borderId="15" xfId="0" applyFont="1" applyBorder="1" applyAlignment="1">
      <alignment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0" borderId="18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3" fillId="0" borderId="27" xfId="0" applyFont="1" applyBorder="1" applyAlignment="1">
      <alignment horizontal="right"/>
    </xf>
    <xf numFmtId="0" fontId="0" fillId="0" borderId="27" xfId="0" applyBorder="1" applyAlignment="1">
      <alignment/>
    </xf>
    <xf numFmtId="0" fontId="6" fillId="0" borderId="18" xfId="0" applyFont="1" applyBorder="1" applyAlignment="1" applyProtection="1">
      <alignment horizontal="center" vertical="center" wrapText="1"/>
      <protection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29" fillId="0" borderId="0" xfId="0" applyFont="1" applyAlignment="1">
      <alignment horizontal="left" wrapText="1"/>
    </xf>
    <xf numFmtId="0" fontId="28" fillId="0" borderId="0" xfId="0" applyFont="1" applyAlignment="1">
      <alignment horizontal="left" vertical="center" wrapText="1"/>
    </xf>
    <xf numFmtId="0" fontId="26" fillId="0" borderId="0" xfId="0" applyFont="1" applyAlignment="1">
      <alignment horizontal="center"/>
    </xf>
    <xf numFmtId="0" fontId="1" fillId="0" borderId="0" xfId="0" applyFont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7"/>
  <sheetViews>
    <sheetView showZeros="0" view="pageBreakPreview" zoomScale="85" zoomScaleNormal="75" zoomScaleSheetLayoutView="85" zoomScalePageLayoutView="0" workbookViewId="0" topLeftCell="A1">
      <selection activeCell="A54" sqref="A54"/>
    </sheetView>
  </sheetViews>
  <sheetFormatPr defaultColWidth="9.00390625" defaultRowHeight="12.75"/>
  <cols>
    <col min="1" max="1" width="40.125" style="7" customWidth="1"/>
    <col min="2" max="2" width="6.75390625" style="7" customWidth="1"/>
    <col min="3" max="3" width="11.625" style="7" customWidth="1"/>
    <col min="4" max="4" width="9.125" style="7" customWidth="1"/>
    <col min="5" max="5" width="8.75390625" style="7" customWidth="1"/>
    <col min="6" max="6" width="9.25390625" style="7" customWidth="1"/>
    <col min="7" max="7" width="8.875" style="7" customWidth="1"/>
    <col min="8" max="9" width="10.375" style="7" customWidth="1"/>
    <col min="10" max="10" width="12.375" style="7" customWidth="1"/>
    <col min="11" max="11" width="9.00390625" style="7" customWidth="1"/>
    <col min="12" max="16384" width="9.125" style="7" customWidth="1"/>
  </cols>
  <sheetData>
    <row r="1" spans="10:12" ht="12.75">
      <c r="J1" s="87" t="s">
        <v>90</v>
      </c>
      <c r="K1" s="87"/>
      <c r="L1" s="87"/>
    </row>
    <row r="2" spans="3:7" ht="12.75">
      <c r="C2" s="34"/>
      <c r="D2" s="86" t="s">
        <v>89</v>
      </c>
      <c r="E2" s="86"/>
      <c r="F2" s="86"/>
      <c r="G2" s="34"/>
    </row>
    <row r="3" spans="2:9" ht="12.75">
      <c r="B3" s="40" t="s">
        <v>48</v>
      </c>
      <c r="C3" s="40"/>
      <c r="D3" s="40"/>
      <c r="E3" s="40"/>
      <c r="F3" s="40"/>
      <c r="G3" s="40"/>
      <c r="H3" s="40"/>
      <c r="I3" s="38"/>
    </row>
    <row r="4" spans="3:7" ht="12.75">
      <c r="C4" s="86" t="s">
        <v>121</v>
      </c>
      <c r="D4" s="86"/>
      <c r="E4" s="86"/>
      <c r="F4" s="86"/>
      <c r="G4" s="86"/>
    </row>
    <row r="5" spans="1:7" ht="12.75">
      <c r="A5" s="3"/>
      <c r="C5" s="88" t="s">
        <v>47</v>
      </c>
      <c r="D5" s="88"/>
      <c r="E5" s="88"/>
      <c r="F5" s="88"/>
      <c r="G5" s="88"/>
    </row>
    <row r="6" spans="1:7" ht="12.75">
      <c r="A6" s="3"/>
      <c r="C6" s="86" t="s">
        <v>126</v>
      </c>
      <c r="D6" s="86"/>
      <c r="E6" s="86"/>
      <c r="F6" s="86"/>
      <c r="G6" s="86"/>
    </row>
    <row r="7" spans="1:12" ht="12.75">
      <c r="A7" s="4"/>
      <c r="L7" s="7" t="s">
        <v>0</v>
      </c>
    </row>
    <row r="8" spans="1:12" ht="23.25" customHeight="1">
      <c r="A8" s="72" t="s">
        <v>23</v>
      </c>
      <c r="B8" s="83" t="s">
        <v>1</v>
      </c>
      <c r="C8" s="83" t="s">
        <v>2</v>
      </c>
      <c r="D8" s="74" t="s">
        <v>3</v>
      </c>
      <c r="E8" s="75"/>
      <c r="F8" s="75"/>
      <c r="G8" s="75"/>
      <c r="H8" s="75"/>
      <c r="I8" s="75"/>
      <c r="J8" s="75"/>
      <c r="K8" s="75"/>
      <c r="L8" s="76"/>
    </row>
    <row r="9" spans="1:12" ht="13.5" customHeight="1">
      <c r="A9" s="73"/>
      <c r="B9" s="84"/>
      <c r="C9" s="84"/>
      <c r="D9" s="77" t="s">
        <v>4</v>
      </c>
      <c r="E9" s="85"/>
      <c r="F9" s="85"/>
      <c r="G9" s="78"/>
      <c r="H9" s="77" t="s">
        <v>51</v>
      </c>
      <c r="I9" s="85"/>
      <c r="J9" s="85"/>
      <c r="K9" s="85"/>
      <c r="L9" s="78"/>
    </row>
    <row r="10" spans="1:12" ht="24.75" customHeight="1">
      <c r="A10" s="73"/>
      <c r="B10" s="84"/>
      <c r="C10" s="84"/>
      <c r="D10" s="77" t="s">
        <v>5</v>
      </c>
      <c r="E10" s="78"/>
      <c r="F10" s="77" t="s">
        <v>6</v>
      </c>
      <c r="G10" s="78"/>
      <c r="H10" s="72" t="s">
        <v>7</v>
      </c>
      <c r="I10" s="74" t="s">
        <v>69</v>
      </c>
      <c r="J10" s="75"/>
      <c r="K10" s="76"/>
      <c r="L10" s="72" t="s">
        <v>9</v>
      </c>
    </row>
    <row r="11" spans="1:12" ht="69" customHeight="1">
      <c r="A11" s="73"/>
      <c r="B11" s="84"/>
      <c r="C11" s="84"/>
      <c r="D11" s="9" t="s">
        <v>11</v>
      </c>
      <c r="E11" s="6" t="s">
        <v>12</v>
      </c>
      <c r="F11" s="6" t="s">
        <v>11</v>
      </c>
      <c r="G11" s="6" t="s">
        <v>12</v>
      </c>
      <c r="H11" s="73"/>
      <c r="I11" s="10" t="s">
        <v>50</v>
      </c>
      <c r="J11" s="10" t="s">
        <v>111</v>
      </c>
      <c r="K11" s="9" t="s">
        <v>10</v>
      </c>
      <c r="L11" s="73"/>
    </row>
    <row r="12" spans="1:12" ht="16.5" customHeight="1">
      <c r="A12" s="16">
        <v>1</v>
      </c>
      <c r="B12" s="16">
        <v>2</v>
      </c>
      <c r="C12" s="16">
        <v>3</v>
      </c>
      <c r="D12" s="16">
        <v>4</v>
      </c>
      <c r="E12" s="16">
        <v>5</v>
      </c>
      <c r="F12" s="16">
        <v>6</v>
      </c>
      <c r="G12" s="16">
        <v>7</v>
      </c>
      <c r="H12" s="16">
        <v>8</v>
      </c>
      <c r="I12" s="16">
        <v>9</v>
      </c>
      <c r="J12" s="16">
        <v>10</v>
      </c>
      <c r="K12" s="16">
        <v>11</v>
      </c>
      <c r="L12" s="16">
        <v>12</v>
      </c>
    </row>
    <row r="13" spans="1:12" ht="15.75" customHeight="1">
      <c r="A13" s="80" t="s">
        <v>54</v>
      </c>
      <c r="B13" s="81"/>
      <c r="C13" s="81"/>
      <c r="D13" s="81"/>
      <c r="E13" s="81"/>
      <c r="F13" s="81"/>
      <c r="G13" s="81"/>
      <c r="H13" s="81"/>
      <c r="I13" s="81"/>
      <c r="J13" s="81"/>
      <c r="K13" s="81"/>
      <c r="L13" s="82"/>
    </row>
    <row r="14" spans="1:12" ht="27.75" customHeight="1">
      <c r="A14" s="11" t="s">
        <v>104</v>
      </c>
      <c r="B14" s="14">
        <v>101</v>
      </c>
      <c r="C14" s="36">
        <f>SUM(D14:L14)</f>
        <v>671</v>
      </c>
      <c r="D14" s="14">
        <v>1</v>
      </c>
      <c r="E14" s="14"/>
      <c r="F14" s="14">
        <f>1+1</f>
        <v>2</v>
      </c>
      <c r="G14" s="14"/>
      <c r="H14" s="14">
        <f>1+7</f>
        <v>8</v>
      </c>
      <c r="I14" s="14">
        <f>2+6+4+2+6+4+126+14+6</f>
        <v>170</v>
      </c>
      <c r="J14" s="14">
        <v>4</v>
      </c>
      <c r="K14" s="14">
        <f>2+26+220+5+13+7+48+16+149</f>
        <v>486</v>
      </c>
      <c r="L14" s="16"/>
    </row>
    <row r="15" spans="1:12" ht="27.75" customHeight="1">
      <c r="A15" s="11" t="s">
        <v>13</v>
      </c>
      <c r="B15" s="14">
        <v>102</v>
      </c>
      <c r="C15" s="36">
        <f aca="true" t="shared" si="0" ref="C15:C27">SUM(D15:L15)</f>
        <v>0</v>
      </c>
      <c r="D15" s="14" t="s">
        <v>18</v>
      </c>
      <c r="E15" s="14" t="s">
        <v>18</v>
      </c>
      <c r="F15" s="14"/>
      <c r="G15" s="14" t="s">
        <v>18</v>
      </c>
      <c r="H15" s="14" t="s">
        <v>18</v>
      </c>
      <c r="I15" s="14" t="s">
        <v>18</v>
      </c>
      <c r="J15" s="14"/>
      <c r="K15" s="14" t="s">
        <v>18</v>
      </c>
      <c r="L15" s="16"/>
    </row>
    <row r="16" spans="1:12" ht="27.75" customHeight="1">
      <c r="A16" s="11" t="s">
        <v>80</v>
      </c>
      <c r="B16" s="14">
        <v>103</v>
      </c>
      <c r="C16" s="36">
        <f t="shared" si="0"/>
        <v>0</v>
      </c>
      <c r="D16" s="14"/>
      <c r="E16" s="14"/>
      <c r="F16" s="14"/>
      <c r="G16" s="14"/>
      <c r="H16" s="14" t="s">
        <v>18</v>
      </c>
      <c r="I16" s="14" t="s">
        <v>18</v>
      </c>
      <c r="J16" s="14"/>
      <c r="K16" s="14" t="s">
        <v>18</v>
      </c>
      <c r="L16" s="14" t="s">
        <v>18</v>
      </c>
    </row>
    <row r="17" spans="1:12" ht="27.75" customHeight="1">
      <c r="A17" s="11" t="s">
        <v>14</v>
      </c>
      <c r="B17" s="14">
        <v>104</v>
      </c>
      <c r="C17" s="36">
        <f t="shared" si="0"/>
        <v>671</v>
      </c>
      <c r="D17" s="14">
        <v>1</v>
      </c>
      <c r="E17" s="14"/>
      <c r="F17" s="14">
        <f>1+1</f>
        <v>2</v>
      </c>
      <c r="G17" s="14"/>
      <c r="H17" s="14">
        <f>1+7</f>
        <v>8</v>
      </c>
      <c r="I17" s="14">
        <f>2+6+4+2+6+4+126+14+6</f>
        <v>170</v>
      </c>
      <c r="J17" s="14">
        <v>4</v>
      </c>
      <c r="K17" s="14">
        <f>2+26+220+5+13+7+48+16+149</f>
        <v>486</v>
      </c>
      <c r="L17" s="16"/>
    </row>
    <row r="18" spans="1:12" ht="30" customHeight="1">
      <c r="A18" s="11" t="s">
        <v>15</v>
      </c>
      <c r="B18" s="14">
        <v>105</v>
      </c>
      <c r="C18" s="36">
        <f t="shared" si="0"/>
        <v>0</v>
      </c>
      <c r="D18" s="14" t="s">
        <v>18</v>
      </c>
      <c r="E18" s="14" t="s">
        <v>18</v>
      </c>
      <c r="F18" s="14"/>
      <c r="G18" s="14" t="s">
        <v>18</v>
      </c>
      <c r="H18" s="14" t="s">
        <v>18</v>
      </c>
      <c r="I18" s="14" t="s">
        <v>18</v>
      </c>
      <c r="J18" s="14"/>
      <c r="K18" s="14" t="s">
        <v>18</v>
      </c>
      <c r="L18" s="16"/>
    </row>
    <row r="19" spans="1:12" ht="40.5" customHeight="1">
      <c r="A19" s="11" t="s">
        <v>71</v>
      </c>
      <c r="B19" s="16">
        <v>106</v>
      </c>
      <c r="C19" s="36">
        <f t="shared" si="0"/>
        <v>0</v>
      </c>
      <c r="D19" s="16"/>
      <c r="E19" s="16"/>
      <c r="F19" s="16"/>
      <c r="G19" s="16"/>
      <c r="H19" s="16"/>
      <c r="I19" s="14" t="s">
        <v>18</v>
      </c>
      <c r="J19" s="14" t="s">
        <v>18</v>
      </c>
      <c r="K19" s="14" t="s">
        <v>18</v>
      </c>
      <c r="L19" s="14" t="s">
        <v>18</v>
      </c>
    </row>
    <row r="20" spans="1:12" ht="40.5" customHeight="1">
      <c r="A20" s="11" t="s">
        <v>105</v>
      </c>
      <c r="B20" s="16">
        <v>107</v>
      </c>
      <c r="C20" s="36">
        <f t="shared" si="0"/>
        <v>671</v>
      </c>
      <c r="D20" s="16">
        <v>1</v>
      </c>
      <c r="E20" s="16"/>
      <c r="F20" s="16">
        <f>1+1</f>
        <v>2</v>
      </c>
      <c r="G20" s="16"/>
      <c r="H20" s="16">
        <f>1+7</f>
        <v>8</v>
      </c>
      <c r="I20" s="16">
        <f>2+6+4+2+6+4+126+14+6</f>
        <v>170</v>
      </c>
      <c r="J20" s="16">
        <v>4</v>
      </c>
      <c r="K20" s="16">
        <f>2+26+220+5+13+7+48+16+149</f>
        <v>486</v>
      </c>
      <c r="L20" s="16"/>
    </row>
    <row r="21" spans="1:12" ht="26.25" customHeight="1">
      <c r="A21" s="13" t="s">
        <v>106</v>
      </c>
      <c r="B21" s="14">
        <v>108</v>
      </c>
      <c r="C21" s="36">
        <f t="shared" si="0"/>
        <v>197</v>
      </c>
      <c r="D21" s="16"/>
      <c r="E21" s="16"/>
      <c r="F21" s="16">
        <f>1+1</f>
        <v>2</v>
      </c>
      <c r="G21" s="16"/>
      <c r="H21" s="16">
        <f>1+5</f>
        <v>6</v>
      </c>
      <c r="I21" s="16">
        <f>4+2</f>
        <v>6</v>
      </c>
      <c r="J21" s="16">
        <v>1</v>
      </c>
      <c r="K21" s="16">
        <f>26+125+5+13+4+9</f>
        <v>182</v>
      </c>
      <c r="L21" s="16"/>
    </row>
    <row r="22" spans="1:12" ht="27" customHeight="1">
      <c r="A22" s="11" t="s">
        <v>70</v>
      </c>
      <c r="B22" s="14">
        <v>109</v>
      </c>
      <c r="C22" s="36">
        <f t="shared" si="0"/>
        <v>0</v>
      </c>
      <c r="D22" s="14"/>
      <c r="E22" s="14"/>
      <c r="F22" s="14"/>
      <c r="G22" s="14"/>
      <c r="H22" s="14"/>
      <c r="I22" s="14"/>
      <c r="J22" s="14"/>
      <c r="K22" s="14"/>
      <c r="L22" s="16"/>
    </row>
    <row r="23" spans="1:12" ht="20.25" customHeight="1">
      <c r="A23" s="11" t="s">
        <v>52</v>
      </c>
      <c r="B23" s="14">
        <v>110</v>
      </c>
      <c r="C23" s="36">
        <f t="shared" si="0"/>
        <v>0</v>
      </c>
      <c r="D23" s="14"/>
      <c r="E23" s="14"/>
      <c r="F23" s="14"/>
      <c r="G23" s="14"/>
      <c r="H23" s="14"/>
      <c r="I23" s="14"/>
      <c r="J23" s="14"/>
      <c r="K23" s="14"/>
      <c r="L23" s="16"/>
    </row>
    <row r="24" spans="1:12" ht="27" customHeight="1">
      <c r="A24" s="11" t="s">
        <v>112</v>
      </c>
      <c r="B24" s="14">
        <v>111</v>
      </c>
      <c r="C24" s="36"/>
      <c r="D24" s="14"/>
      <c r="E24" s="14"/>
      <c r="F24" s="14"/>
      <c r="G24" s="14"/>
      <c r="H24" s="14"/>
      <c r="I24" s="14"/>
      <c r="J24" s="14"/>
      <c r="K24" s="14"/>
      <c r="L24" s="16"/>
    </row>
    <row r="25" spans="1:12" ht="16.5" customHeight="1">
      <c r="A25" s="11" t="s">
        <v>113</v>
      </c>
      <c r="B25" s="14">
        <v>112</v>
      </c>
      <c r="C25" s="36">
        <f t="shared" si="0"/>
        <v>0</v>
      </c>
      <c r="D25" s="14"/>
      <c r="E25" s="14"/>
      <c r="F25" s="14"/>
      <c r="G25" s="14"/>
      <c r="H25" s="14"/>
      <c r="I25" s="14"/>
      <c r="J25" s="14"/>
      <c r="K25" s="14"/>
      <c r="L25" s="16"/>
    </row>
    <row r="26" spans="1:12" ht="24" customHeight="1">
      <c r="A26" s="13" t="s">
        <v>107</v>
      </c>
      <c r="B26" s="14">
        <v>113</v>
      </c>
      <c r="C26" s="36">
        <f t="shared" si="0"/>
        <v>0</v>
      </c>
      <c r="D26" s="14"/>
      <c r="E26" s="14"/>
      <c r="F26" s="14"/>
      <c r="G26" s="14"/>
      <c r="H26" s="14"/>
      <c r="I26" s="14"/>
      <c r="J26" s="14"/>
      <c r="K26" s="14"/>
      <c r="L26" s="16"/>
    </row>
    <row r="27" spans="1:12" ht="18.75" customHeight="1">
      <c r="A27" s="11" t="s">
        <v>53</v>
      </c>
      <c r="B27" s="14">
        <v>114</v>
      </c>
      <c r="C27" s="36">
        <f t="shared" si="0"/>
        <v>0</v>
      </c>
      <c r="D27" s="14"/>
      <c r="E27" s="14"/>
      <c r="F27" s="14"/>
      <c r="G27" s="14"/>
      <c r="H27" s="14"/>
      <c r="I27" s="14"/>
      <c r="J27" s="14"/>
      <c r="K27" s="14"/>
      <c r="L27" s="16"/>
    </row>
    <row r="28" spans="1:12" ht="24.75" customHeight="1">
      <c r="A28" s="11" t="s">
        <v>119</v>
      </c>
      <c r="B28" s="14">
        <v>115</v>
      </c>
      <c r="C28" s="36"/>
      <c r="D28" s="14"/>
      <c r="E28" s="14"/>
      <c r="F28" s="14"/>
      <c r="G28" s="14"/>
      <c r="H28" s="14"/>
      <c r="I28" s="14"/>
      <c r="J28" s="14"/>
      <c r="K28" s="14"/>
      <c r="L28" s="16"/>
    </row>
    <row r="29" spans="1:12" ht="27" customHeight="1">
      <c r="A29" s="13" t="s">
        <v>79</v>
      </c>
      <c r="B29" s="14">
        <v>116</v>
      </c>
      <c r="C29" s="36"/>
      <c r="D29" s="14"/>
      <c r="E29" s="14"/>
      <c r="F29" s="14"/>
      <c r="G29" s="14"/>
      <c r="H29" s="14"/>
      <c r="I29" s="14"/>
      <c r="J29" s="14"/>
      <c r="K29" s="14"/>
      <c r="L29" s="16"/>
    </row>
    <row r="30" spans="1:12" ht="18.75" customHeight="1">
      <c r="A30" s="13" t="s">
        <v>61</v>
      </c>
      <c r="B30" s="14">
        <v>117</v>
      </c>
      <c r="C30" s="36"/>
      <c r="D30" s="14"/>
      <c r="E30" s="14"/>
      <c r="F30" s="14"/>
      <c r="G30" s="14"/>
      <c r="H30" s="14"/>
      <c r="I30" s="14"/>
      <c r="J30" s="14"/>
      <c r="K30" s="14"/>
      <c r="L30" s="16"/>
    </row>
    <row r="31" spans="1:12" ht="15.75" customHeight="1">
      <c r="A31" s="79" t="s">
        <v>55</v>
      </c>
      <c r="B31" s="79"/>
      <c r="C31" s="79"/>
      <c r="D31" s="79"/>
      <c r="E31" s="79"/>
      <c r="F31" s="79"/>
      <c r="G31" s="79"/>
      <c r="H31" s="79"/>
      <c r="I31" s="79"/>
      <c r="J31" s="79"/>
      <c r="K31" s="79"/>
      <c r="L31" s="79"/>
    </row>
    <row r="32" spans="1:12" ht="31.5" customHeight="1">
      <c r="A32" s="15" t="s">
        <v>16</v>
      </c>
      <c r="B32" s="14">
        <v>201</v>
      </c>
      <c r="C32" s="36">
        <f>SUM(D32:K32)</f>
        <v>229</v>
      </c>
      <c r="D32" s="14">
        <v>3</v>
      </c>
      <c r="E32" s="14"/>
      <c r="F32" s="14">
        <f>4+26</f>
        <v>30</v>
      </c>
      <c r="G32" s="14"/>
      <c r="H32" s="14">
        <f>2+17</f>
        <v>19</v>
      </c>
      <c r="I32" s="14">
        <f>2+6+4+6+4+2+126+14+6</f>
        <v>170</v>
      </c>
      <c r="J32" s="14">
        <v>7</v>
      </c>
      <c r="K32" s="14" t="s">
        <v>18</v>
      </c>
      <c r="L32" s="16"/>
    </row>
    <row r="33" spans="1:12" ht="26.25" customHeight="1">
      <c r="A33" s="11" t="s">
        <v>17</v>
      </c>
      <c r="B33" s="14">
        <v>202</v>
      </c>
      <c r="C33" s="36">
        <f aca="true" t="shared" si="1" ref="C33:C52">SUM(D33:K33)</f>
        <v>0</v>
      </c>
      <c r="D33" s="14" t="s">
        <v>18</v>
      </c>
      <c r="E33" s="14" t="s">
        <v>18</v>
      </c>
      <c r="F33" s="14"/>
      <c r="G33" s="14" t="s">
        <v>18</v>
      </c>
      <c r="H33" s="14" t="s">
        <v>18</v>
      </c>
      <c r="I33" s="14" t="s">
        <v>18</v>
      </c>
      <c r="J33" s="14"/>
      <c r="K33" s="14" t="s">
        <v>18</v>
      </c>
      <c r="L33" s="16"/>
    </row>
    <row r="34" spans="1:12" ht="24.75" customHeight="1">
      <c r="A34" s="13" t="s">
        <v>108</v>
      </c>
      <c r="B34" s="14">
        <v>203</v>
      </c>
      <c r="C34" s="36">
        <f t="shared" si="1"/>
        <v>0</v>
      </c>
      <c r="D34" s="8"/>
      <c r="E34" s="8"/>
      <c r="F34" s="8"/>
      <c r="G34" s="8"/>
      <c r="H34" s="14" t="s">
        <v>18</v>
      </c>
      <c r="I34" s="14" t="s">
        <v>18</v>
      </c>
      <c r="J34" s="14"/>
      <c r="K34" s="14" t="s">
        <v>18</v>
      </c>
      <c r="L34" s="14" t="s">
        <v>18</v>
      </c>
    </row>
    <row r="35" spans="1:12" ht="25.5" customHeight="1">
      <c r="A35" s="13" t="s">
        <v>72</v>
      </c>
      <c r="B35" s="14">
        <v>204</v>
      </c>
      <c r="C35" s="36">
        <f t="shared" si="1"/>
        <v>229</v>
      </c>
      <c r="D35" s="8">
        <v>3</v>
      </c>
      <c r="E35" s="8"/>
      <c r="F35" s="8">
        <f>4+26</f>
        <v>30</v>
      </c>
      <c r="G35" s="8"/>
      <c r="H35" s="8">
        <f>2+17</f>
        <v>19</v>
      </c>
      <c r="I35" s="8">
        <f>2+6+4+2+6+4+126+14+6</f>
        <v>170</v>
      </c>
      <c r="J35" s="8">
        <v>7</v>
      </c>
      <c r="K35" s="14" t="s">
        <v>18</v>
      </c>
      <c r="L35" s="16"/>
    </row>
    <row r="36" spans="1:12" ht="27" customHeight="1">
      <c r="A36" s="13" t="s">
        <v>73</v>
      </c>
      <c r="B36" s="14">
        <v>204</v>
      </c>
      <c r="C36" s="36">
        <f t="shared" si="1"/>
        <v>54</v>
      </c>
      <c r="D36" s="16">
        <v>3</v>
      </c>
      <c r="E36" s="16"/>
      <c r="F36" s="16">
        <f>4+24</f>
        <v>28</v>
      </c>
      <c r="G36" s="16"/>
      <c r="H36" s="16">
        <f>2+13</f>
        <v>15</v>
      </c>
      <c r="I36" s="16">
        <f>4+2</f>
        <v>6</v>
      </c>
      <c r="J36" s="16">
        <v>2</v>
      </c>
      <c r="K36" s="14" t="s">
        <v>18</v>
      </c>
      <c r="L36" s="16"/>
    </row>
    <row r="37" spans="1:12" ht="17.25" customHeight="1">
      <c r="A37" s="11" t="s">
        <v>74</v>
      </c>
      <c r="B37" s="14">
        <v>206</v>
      </c>
      <c r="C37" s="36">
        <f t="shared" si="1"/>
        <v>0</v>
      </c>
      <c r="D37" s="14"/>
      <c r="E37" s="14"/>
      <c r="F37" s="14"/>
      <c r="G37" s="14"/>
      <c r="H37" s="14"/>
      <c r="I37" s="14"/>
      <c r="J37" s="14"/>
      <c r="K37" s="14" t="s">
        <v>18</v>
      </c>
      <c r="L37" s="16"/>
    </row>
    <row r="38" spans="1:12" ht="15.75" customHeight="1">
      <c r="A38" s="11" t="s">
        <v>57</v>
      </c>
      <c r="B38" s="14">
        <v>207</v>
      </c>
      <c r="C38" s="36">
        <f t="shared" si="1"/>
        <v>0</v>
      </c>
      <c r="D38" s="14"/>
      <c r="E38" s="14"/>
      <c r="F38" s="14"/>
      <c r="G38" s="14"/>
      <c r="H38" s="14"/>
      <c r="I38" s="14"/>
      <c r="J38" s="14"/>
      <c r="K38" s="14" t="s">
        <v>18</v>
      </c>
      <c r="L38" s="16"/>
    </row>
    <row r="39" spans="1:12" ht="27" customHeight="1">
      <c r="A39" s="11" t="s">
        <v>81</v>
      </c>
      <c r="B39" s="14">
        <v>208</v>
      </c>
      <c r="C39" s="36">
        <f t="shared" si="1"/>
        <v>0</v>
      </c>
      <c r="D39" s="14"/>
      <c r="E39" s="14"/>
      <c r="F39" s="14"/>
      <c r="G39" s="14"/>
      <c r="H39" s="14"/>
      <c r="I39" s="14" t="s">
        <v>18</v>
      </c>
      <c r="J39" s="14"/>
      <c r="K39" s="14" t="s">
        <v>18</v>
      </c>
      <c r="L39" s="16"/>
    </row>
    <row r="40" spans="1:12" ht="25.5">
      <c r="A40" s="11" t="s">
        <v>17</v>
      </c>
      <c r="B40" s="14">
        <v>209</v>
      </c>
      <c r="C40" s="36">
        <f t="shared" si="1"/>
        <v>0</v>
      </c>
      <c r="D40" s="14" t="s">
        <v>18</v>
      </c>
      <c r="E40" s="14" t="s">
        <v>18</v>
      </c>
      <c r="F40" s="14"/>
      <c r="G40" s="14" t="s">
        <v>18</v>
      </c>
      <c r="H40" s="14" t="s">
        <v>18</v>
      </c>
      <c r="I40" s="14" t="s">
        <v>18</v>
      </c>
      <c r="J40" s="14"/>
      <c r="K40" s="14" t="s">
        <v>18</v>
      </c>
      <c r="L40" s="16"/>
    </row>
    <row r="41" spans="1:12" ht="47.25" customHeight="1">
      <c r="A41" s="45" t="s">
        <v>109</v>
      </c>
      <c r="B41" s="14">
        <v>210</v>
      </c>
      <c r="C41" s="36">
        <f t="shared" si="1"/>
        <v>0</v>
      </c>
      <c r="D41" s="10"/>
      <c r="E41" s="10"/>
      <c r="F41" s="10"/>
      <c r="G41" s="10"/>
      <c r="H41" s="10"/>
      <c r="I41" s="14" t="s">
        <v>18</v>
      </c>
      <c r="J41" s="10"/>
      <c r="K41" s="14" t="s">
        <v>18</v>
      </c>
      <c r="L41" s="16"/>
    </row>
    <row r="42" spans="1:12" ht="26.25" customHeight="1">
      <c r="A42" s="46" t="s">
        <v>110</v>
      </c>
      <c r="B42" s="14">
        <v>211</v>
      </c>
      <c r="C42" s="36">
        <f t="shared" si="1"/>
        <v>0</v>
      </c>
      <c r="D42" s="14"/>
      <c r="E42" s="14"/>
      <c r="F42" s="14"/>
      <c r="G42" s="14"/>
      <c r="H42" s="14"/>
      <c r="I42" s="14" t="s">
        <v>18</v>
      </c>
      <c r="J42" s="14"/>
      <c r="K42" s="14" t="s">
        <v>18</v>
      </c>
      <c r="L42" s="16"/>
    </row>
    <row r="43" spans="1:12" ht="27.75" customHeight="1">
      <c r="A43" s="46" t="s">
        <v>75</v>
      </c>
      <c r="B43" s="14">
        <v>212</v>
      </c>
      <c r="C43" s="36">
        <f t="shared" si="1"/>
        <v>0</v>
      </c>
      <c r="D43" s="14"/>
      <c r="E43" s="14"/>
      <c r="F43" s="14"/>
      <c r="G43" s="14"/>
      <c r="H43" s="14"/>
      <c r="I43" s="14" t="s">
        <v>18</v>
      </c>
      <c r="J43" s="14"/>
      <c r="K43" s="14" t="s">
        <v>18</v>
      </c>
      <c r="L43" s="16"/>
    </row>
    <row r="44" spans="1:12" ht="26.25" customHeight="1">
      <c r="A44" s="46" t="s">
        <v>76</v>
      </c>
      <c r="B44" s="14">
        <v>213</v>
      </c>
      <c r="C44" s="36">
        <f t="shared" si="1"/>
        <v>0</v>
      </c>
      <c r="D44" s="14"/>
      <c r="E44" s="14"/>
      <c r="F44" s="14"/>
      <c r="G44" s="14"/>
      <c r="H44" s="14"/>
      <c r="I44" s="14" t="s">
        <v>18</v>
      </c>
      <c r="J44" s="14"/>
      <c r="K44" s="14" t="s">
        <v>18</v>
      </c>
      <c r="L44" s="16"/>
    </row>
    <row r="45" spans="1:12" ht="27.75" customHeight="1">
      <c r="A45" s="11" t="s">
        <v>19</v>
      </c>
      <c r="B45" s="14">
        <v>214</v>
      </c>
      <c r="C45" s="36">
        <f t="shared" si="1"/>
        <v>0</v>
      </c>
      <c r="D45" s="14"/>
      <c r="E45" s="14"/>
      <c r="F45" s="14"/>
      <c r="G45" s="14"/>
      <c r="H45" s="14"/>
      <c r="I45" s="14" t="s">
        <v>18</v>
      </c>
      <c r="J45" s="14"/>
      <c r="K45" s="14" t="s">
        <v>18</v>
      </c>
      <c r="L45" s="16"/>
    </row>
    <row r="46" spans="1:12" ht="42.75" customHeight="1">
      <c r="A46" s="11" t="s">
        <v>58</v>
      </c>
      <c r="B46" s="14">
        <v>215</v>
      </c>
      <c r="C46" s="36">
        <f t="shared" si="1"/>
        <v>185</v>
      </c>
      <c r="D46" s="14">
        <v>1</v>
      </c>
      <c r="E46" s="14"/>
      <c r="F46" s="14">
        <f>1+1</f>
        <v>2</v>
      </c>
      <c r="G46" s="14"/>
      <c r="H46" s="14">
        <f>1+7</f>
        <v>8</v>
      </c>
      <c r="I46" s="14">
        <f>2+6+4+2+6+4+126+14+6</f>
        <v>170</v>
      </c>
      <c r="J46" s="14">
        <v>4</v>
      </c>
      <c r="K46" s="14" t="s">
        <v>18</v>
      </c>
      <c r="L46" s="16"/>
    </row>
    <row r="47" spans="1:12" ht="30" customHeight="1">
      <c r="A47" s="11" t="s">
        <v>59</v>
      </c>
      <c r="B47" s="14">
        <v>216</v>
      </c>
      <c r="C47" s="36">
        <f t="shared" si="1"/>
        <v>0</v>
      </c>
      <c r="D47" s="14" t="s">
        <v>18</v>
      </c>
      <c r="E47" s="14" t="s">
        <v>18</v>
      </c>
      <c r="F47" s="14"/>
      <c r="G47" s="14" t="s">
        <v>18</v>
      </c>
      <c r="H47" s="14" t="s">
        <v>18</v>
      </c>
      <c r="I47" s="14" t="s">
        <v>18</v>
      </c>
      <c r="J47" s="14"/>
      <c r="K47" s="14" t="s">
        <v>18</v>
      </c>
      <c r="L47" s="16"/>
    </row>
    <row r="48" spans="1:12" ht="28.5" customHeight="1">
      <c r="A48" s="13" t="s">
        <v>77</v>
      </c>
      <c r="B48" s="14">
        <v>217</v>
      </c>
      <c r="C48" s="36">
        <f t="shared" si="1"/>
        <v>185</v>
      </c>
      <c r="D48" s="10">
        <v>1</v>
      </c>
      <c r="E48" s="10"/>
      <c r="F48" s="10">
        <f>1+1</f>
        <v>2</v>
      </c>
      <c r="G48" s="10"/>
      <c r="H48" s="10">
        <f>1+7</f>
        <v>8</v>
      </c>
      <c r="I48" s="10">
        <f>6+4+2+6+4+2+126+14+6</f>
        <v>170</v>
      </c>
      <c r="J48" s="10">
        <v>4</v>
      </c>
      <c r="K48" s="14" t="s">
        <v>18</v>
      </c>
      <c r="L48" s="16"/>
    </row>
    <row r="49" spans="1:12" ht="27.75" customHeight="1">
      <c r="A49" s="13" t="s">
        <v>78</v>
      </c>
      <c r="B49" s="14">
        <v>218</v>
      </c>
      <c r="C49" s="36">
        <f t="shared" si="1"/>
        <v>16</v>
      </c>
      <c r="D49" s="14">
        <v>1</v>
      </c>
      <c r="E49" s="14"/>
      <c r="F49" s="39">
        <f>1+1</f>
        <v>2</v>
      </c>
      <c r="G49" s="14"/>
      <c r="H49" s="14">
        <f>1+5</f>
        <v>6</v>
      </c>
      <c r="I49" s="14">
        <f>4+2</f>
        <v>6</v>
      </c>
      <c r="J49" s="14">
        <v>1</v>
      </c>
      <c r="K49" s="14" t="s">
        <v>18</v>
      </c>
      <c r="L49" s="16"/>
    </row>
    <row r="50" spans="1:12" ht="14.25" customHeight="1">
      <c r="A50" s="13" t="s">
        <v>74</v>
      </c>
      <c r="B50" s="14">
        <v>219</v>
      </c>
      <c r="C50" s="36">
        <f t="shared" si="1"/>
        <v>0</v>
      </c>
      <c r="D50" s="14"/>
      <c r="E50" s="14"/>
      <c r="F50" s="14"/>
      <c r="G50" s="14"/>
      <c r="H50" s="14"/>
      <c r="I50" s="14"/>
      <c r="J50" s="14"/>
      <c r="K50" s="14" t="s">
        <v>18</v>
      </c>
      <c r="L50" s="16"/>
    </row>
    <row r="51" spans="1:12" ht="18" customHeight="1">
      <c r="A51" s="11" t="s">
        <v>60</v>
      </c>
      <c r="B51" s="14">
        <v>220</v>
      </c>
      <c r="C51" s="36">
        <f t="shared" si="1"/>
        <v>0</v>
      </c>
      <c r="D51" s="14"/>
      <c r="E51" s="14"/>
      <c r="F51" s="14"/>
      <c r="G51" s="14"/>
      <c r="H51" s="14"/>
      <c r="I51" s="14"/>
      <c r="J51" s="14"/>
      <c r="K51" s="14" t="s">
        <v>18</v>
      </c>
      <c r="L51" s="16"/>
    </row>
    <row r="52" spans="1:12" ht="27.75" customHeight="1">
      <c r="A52" s="11" t="s">
        <v>20</v>
      </c>
      <c r="B52" s="14">
        <v>221</v>
      </c>
      <c r="C52" s="36">
        <f t="shared" si="1"/>
        <v>0</v>
      </c>
      <c r="D52" s="14"/>
      <c r="E52" s="14"/>
      <c r="F52" s="14"/>
      <c r="G52" s="14"/>
      <c r="H52" s="14"/>
      <c r="I52" s="14"/>
      <c r="J52" s="14"/>
      <c r="K52" s="14" t="s">
        <v>18</v>
      </c>
      <c r="L52" s="16"/>
    </row>
    <row r="53" spans="1:12" ht="21.75" customHeight="1">
      <c r="A53" s="79" t="s">
        <v>56</v>
      </c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79"/>
    </row>
    <row r="54" spans="1:12" ht="54" customHeight="1">
      <c r="A54" s="15" t="s">
        <v>62</v>
      </c>
      <c r="B54" s="14">
        <v>301</v>
      </c>
      <c r="C54" s="43">
        <f>SUM(D54:L54)</f>
        <v>49156.97</v>
      </c>
      <c r="D54" s="14">
        <v>15812</v>
      </c>
      <c r="E54" s="14"/>
      <c r="F54" s="14">
        <f>35+6980</f>
        <v>7015</v>
      </c>
      <c r="G54" s="14"/>
      <c r="H54" s="14">
        <f>50+2748</f>
        <v>2798</v>
      </c>
      <c r="I54" s="14">
        <f>353+171.5+2877+84.5+239.3+257.1+6771.8+1395.78+824.47</f>
        <v>12974.45</v>
      </c>
      <c r="J54" s="42">
        <v>2549.9</v>
      </c>
      <c r="K54" s="14">
        <f>180+48.5+2592.8+123.2+243+161+2100.7+806.66+1751.76</f>
        <v>8007.62</v>
      </c>
      <c r="L54" s="10"/>
    </row>
    <row r="55" spans="1:12" ht="27.75" customHeight="1">
      <c r="A55" s="11" t="s">
        <v>82</v>
      </c>
      <c r="B55" s="14">
        <v>302</v>
      </c>
      <c r="C55" s="43">
        <f aca="true" t="shared" si="2" ref="C55:C66">SUM(D55:L55)</f>
        <v>0</v>
      </c>
      <c r="D55" s="14"/>
      <c r="E55" s="14"/>
      <c r="F55" s="14"/>
      <c r="G55" s="14"/>
      <c r="H55" s="14" t="s">
        <v>18</v>
      </c>
      <c r="I55" s="14" t="s">
        <v>18</v>
      </c>
      <c r="J55" s="14"/>
      <c r="K55" s="14" t="s">
        <v>18</v>
      </c>
      <c r="L55" s="14" t="s">
        <v>18</v>
      </c>
    </row>
    <row r="56" spans="1:12" ht="34.5" customHeight="1">
      <c r="A56" s="11" t="s">
        <v>63</v>
      </c>
      <c r="B56" s="14">
        <v>303</v>
      </c>
      <c r="C56" s="43">
        <f t="shared" si="2"/>
        <v>48404.170000000006</v>
      </c>
      <c r="D56" s="14">
        <v>15000</v>
      </c>
      <c r="E56" s="14"/>
      <c r="F56" s="14">
        <f>346+6910</f>
        <v>7256</v>
      </c>
      <c r="G56" s="14"/>
      <c r="H56" s="14">
        <f>47+2583.6</f>
        <v>2630.6</v>
      </c>
      <c r="I56" s="14">
        <f>353+171.5+2877+84.5+239.3+257.1+6771.8+1395.78+824.47</f>
        <v>12974.45</v>
      </c>
      <c r="J56" s="42">
        <v>2535.5</v>
      </c>
      <c r="K56" s="14">
        <f>180+48.5+2592.8+123.2+243+161+2100.7+806.66+1751.76</f>
        <v>8007.62</v>
      </c>
      <c r="L56" s="16"/>
    </row>
    <row r="57" spans="1:12" ht="25.5">
      <c r="A57" s="11" t="s">
        <v>21</v>
      </c>
      <c r="B57" s="14">
        <v>304</v>
      </c>
      <c r="C57" s="43">
        <f t="shared" si="2"/>
        <v>48404.170000000006</v>
      </c>
      <c r="D57" s="14">
        <v>15000</v>
      </c>
      <c r="E57" s="14"/>
      <c r="F57" s="14">
        <f>346+6910</f>
        <v>7256</v>
      </c>
      <c r="G57" s="14"/>
      <c r="H57" s="14">
        <f>47+2583.6</f>
        <v>2630.6</v>
      </c>
      <c r="I57" s="14">
        <f>353+171.5+2877+84.5+239.3+257.1+6771.8+1395.78+824.47</f>
        <v>12974.45</v>
      </c>
      <c r="J57" s="42">
        <v>2535.5</v>
      </c>
      <c r="K57" s="14">
        <f>180+48.5+2592.8+123.2+243+161+2100.7+806.66+1751.76</f>
        <v>8007.62</v>
      </c>
      <c r="L57" s="16"/>
    </row>
    <row r="58" spans="1:12" ht="30" customHeight="1">
      <c r="A58" s="11" t="s">
        <v>22</v>
      </c>
      <c r="B58" s="14">
        <v>305</v>
      </c>
      <c r="C58" s="43">
        <f t="shared" si="2"/>
        <v>0</v>
      </c>
      <c r="D58" s="14" t="s">
        <v>18</v>
      </c>
      <c r="E58" s="14" t="s">
        <v>18</v>
      </c>
      <c r="F58" s="14"/>
      <c r="G58" s="14" t="s">
        <v>18</v>
      </c>
      <c r="H58" s="14" t="s">
        <v>18</v>
      </c>
      <c r="I58" s="14" t="s">
        <v>18</v>
      </c>
      <c r="J58" s="14"/>
      <c r="K58" s="14" t="s">
        <v>18</v>
      </c>
      <c r="L58" s="16"/>
    </row>
    <row r="59" spans="1:12" ht="39.75" customHeight="1">
      <c r="A59" s="11" t="s">
        <v>83</v>
      </c>
      <c r="B59" s="16">
        <v>306</v>
      </c>
      <c r="C59" s="43">
        <f t="shared" si="2"/>
        <v>0</v>
      </c>
      <c r="D59" s="16"/>
      <c r="E59" s="16"/>
      <c r="F59" s="16"/>
      <c r="G59" s="16"/>
      <c r="H59" s="16"/>
      <c r="I59" s="16"/>
      <c r="J59" s="44"/>
      <c r="K59" s="14" t="s">
        <v>18</v>
      </c>
      <c r="L59" s="16"/>
    </row>
    <row r="60" spans="1:12" ht="30" customHeight="1">
      <c r="A60" s="15" t="s">
        <v>84</v>
      </c>
      <c r="B60" s="14">
        <v>307</v>
      </c>
      <c r="C60" s="43">
        <f t="shared" si="2"/>
        <v>0</v>
      </c>
      <c r="D60" s="10"/>
      <c r="E60" s="10"/>
      <c r="F60" s="10"/>
      <c r="G60" s="10"/>
      <c r="H60" s="10"/>
      <c r="I60" s="14" t="s">
        <v>18</v>
      </c>
      <c r="J60" s="14" t="s">
        <v>18</v>
      </c>
      <c r="K60" s="14" t="s">
        <v>18</v>
      </c>
      <c r="L60" s="14" t="s">
        <v>18</v>
      </c>
    </row>
    <row r="61" spans="1:12" ht="30" customHeight="1">
      <c r="A61" s="15" t="s">
        <v>85</v>
      </c>
      <c r="B61" s="14">
        <v>308</v>
      </c>
      <c r="C61" s="43">
        <f t="shared" si="2"/>
        <v>48404.270000000004</v>
      </c>
      <c r="D61" s="10">
        <v>15000</v>
      </c>
      <c r="E61" s="10"/>
      <c r="F61" s="10">
        <f>346+6910</f>
        <v>7256</v>
      </c>
      <c r="G61" s="10"/>
      <c r="H61" s="10">
        <f>47+2583.6</f>
        <v>2630.6</v>
      </c>
      <c r="I61" s="10">
        <f>353+171.5+2877+84.5+239.3+257.1+6771.8+1395.78+824.47</f>
        <v>12974.45</v>
      </c>
      <c r="J61" s="47">
        <v>2535.5</v>
      </c>
      <c r="K61" s="10">
        <f>180+48.5+2592.8+123.3+243+161+2100.7+806.66+1751.76</f>
        <v>8007.72</v>
      </c>
      <c r="L61" s="10"/>
    </row>
    <row r="62" spans="1:12" ht="28.5" customHeight="1">
      <c r="A62" s="13" t="s">
        <v>86</v>
      </c>
      <c r="B62" s="14">
        <v>309</v>
      </c>
      <c r="C62" s="43">
        <f t="shared" si="2"/>
        <v>28649</v>
      </c>
      <c r="D62" s="14">
        <v>15000</v>
      </c>
      <c r="E62" s="14"/>
      <c r="F62" s="14">
        <f>346+6910</f>
        <v>7256</v>
      </c>
      <c r="G62" s="14"/>
      <c r="H62" s="14">
        <f>47+1784.6</f>
        <v>1831.6</v>
      </c>
      <c r="I62" s="14">
        <f>158.9+994</f>
        <v>1152.9</v>
      </c>
      <c r="J62" s="42">
        <v>1640</v>
      </c>
      <c r="K62" s="14">
        <f>48.5+1400+320</f>
        <v>1768.5</v>
      </c>
      <c r="L62" s="16"/>
    </row>
    <row r="63" spans="1:12" ht="27" customHeight="1">
      <c r="A63" s="11" t="s">
        <v>70</v>
      </c>
      <c r="B63" s="14">
        <v>310</v>
      </c>
      <c r="C63" s="43">
        <f t="shared" si="2"/>
        <v>0</v>
      </c>
      <c r="D63" s="14"/>
      <c r="E63" s="14"/>
      <c r="F63" s="14"/>
      <c r="G63" s="14"/>
      <c r="H63" s="14"/>
      <c r="I63" s="14"/>
      <c r="J63" s="42"/>
      <c r="K63" s="14"/>
      <c r="L63" s="16"/>
    </row>
    <row r="64" spans="1:12" ht="17.25" customHeight="1">
      <c r="A64" s="11" t="s">
        <v>64</v>
      </c>
      <c r="B64" s="14">
        <v>311</v>
      </c>
      <c r="C64" s="43">
        <f t="shared" si="2"/>
        <v>0</v>
      </c>
      <c r="D64" s="14"/>
      <c r="E64" s="14"/>
      <c r="F64" s="14"/>
      <c r="G64" s="14"/>
      <c r="H64" s="14"/>
      <c r="I64" s="14"/>
      <c r="J64" s="42"/>
      <c r="K64" s="14"/>
      <c r="L64" s="16"/>
    </row>
    <row r="65" spans="1:12" ht="27.75" customHeight="1">
      <c r="A65" s="11" t="s">
        <v>87</v>
      </c>
      <c r="B65" s="14">
        <v>312</v>
      </c>
      <c r="C65" s="43">
        <f t="shared" si="2"/>
        <v>0</v>
      </c>
      <c r="D65" s="14"/>
      <c r="E65" s="14"/>
      <c r="F65" s="14"/>
      <c r="G65" s="14"/>
      <c r="H65" s="14"/>
      <c r="I65" s="14"/>
      <c r="J65" s="42"/>
      <c r="K65" s="14"/>
      <c r="L65" s="16"/>
    </row>
    <row r="66" spans="1:12" ht="30.75" customHeight="1">
      <c r="A66" s="11" t="s">
        <v>88</v>
      </c>
      <c r="B66" s="14">
        <v>313</v>
      </c>
      <c r="C66" s="43">
        <f t="shared" si="2"/>
        <v>0</v>
      </c>
      <c r="D66" s="14"/>
      <c r="E66" s="14"/>
      <c r="F66" s="14"/>
      <c r="G66" s="14"/>
      <c r="H66" s="14"/>
      <c r="I66" s="14"/>
      <c r="J66" s="42"/>
      <c r="K66" s="14"/>
      <c r="L66" s="16"/>
    </row>
    <row r="67" ht="12.75">
      <c r="A67" s="2"/>
    </row>
  </sheetData>
  <sheetProtection/>
  <mergeCells count="19">
    <mergeCell ref="C6:G6"/>
    <mergeCell ref="J1:L1"/>
    <mergeCell ref="D2:F2"/>
    <mergeCell ref="C4:G4"/>
    <mergeCell ref="C5:G5"/>
    <mergeCell ref="A53:L53"/>
    <mergeCell ref="A13:L13"/>
    <mergeCell ref="A8:A11"/>
    <mergeCell ref="B8:B11"/>
    <mergeCell ref="C8:C11"/>
    <mergeCell ref="D8:L8"/>
    <mergeCell ref="D9:G9"/>
    <mergeCell ref="H9:L9"/>
    <mergeCell ref="D10:E10"/>
    <mergeCell ref="A31:L31"/>
    <mergeCell ref="L10:L11"/>
    <mergeCell ref="I10:K10"/>
    <mergeCell ref="F10:G10"/>
    <mergeCell ref="H10:H11"/>
  </mergeCells>
  <printOptions/>
  <pageMargins left="0.3937007874015748" right="0.3937007874015748" top="0.984251968503937" bottom="0.3937007874015748" header="0.5118110236220472" footer="0.5118110236220472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34"/>
  <sheetViews>
    <sheetView showZeros="0" view="pageBreakPreview" zoomScale="75" zoomScaleNormal="75" zoomScaleSheetLayoutView="75" zoomScalePageLayoutView="0" workbookViewId="0" topLeftCell="A1">
      <selection activeCell="U18" sqref="U18"/>
    </sheetView>
  </sheetViews>
  <sheetFormatPr defaultColWidth="9.00390625" defaultRowHeight="12.75"/>
  <cols>
    <col min="1" max="1" width="4.75390625" style="0" customWidth="1"/>
    <col min="2" max="2" width="30.25390625" style="0" customWidth="1"/>
    <col min="3" max="3" width="8.375" style="0" customWidth="1"/>
    <col min="4" max="4" width="9.375" style="0" customWidth="1"/>
    <col min="5" max="5" width="8.625" style="0" customWidth="1"/>
    <col min="7" max="7" width="8.00390625" style="0" customWidth="1"/>
    <col min="8" max="8" width="9.875" style="0" customWidth="1"/>
    <col min="9" max="9" width="8.75390625" style="0" customWidth="1"/>
    <col min="10" max="10" width="10.125" style="0" customWidth="1"/>
    <col min="11" max="11" width="7.875" style="0" customWidth="1"/>
    <col min="12" max="12" width="9.875" style="0" customWidth="1"/>
    <col min="13" max="13" width="8.00390625" style="0" customWidth="1"/>
    <col min="14" max="14" width="10.125" style="0" customWidth="1"/>
    <col min="15" max="15" width="8.125" style="0" customWidth="1"/>
    <col min="16" max="16" width="9.875" style="0" customWidth="1"/>
    <col min="17" max="17" width="7.375" style="0" customWidth="1"/>
    <col min="18" max="18" width="9.875" style="0" customWidth="1"/>
    <col min="19" max="19" width="7.375" style="0" customWidth="1"/>
    <col min="20" max="20" width="10.125" style="0" customWidth="1"/>
    <col min="21" max="21" width="7.25390625" style="0" customWidth="1"/>
    <col min="22" max="22" width="10.00390625" style="0" customWidth="1"/>
    <col min="23" max="23" width="7.00390625" style="0" customWidth="1"/>
    <col min="24" max="24" width="10.125" style="0" customWidth="1"/>
  </cols>
  <sheetData>
    <row r="1" spans="1:24" ht="12.75">
      <c r="A1" s="7"/>
      <c r="B1" s="7"/>
      <c r="C1" s="7"/>
      <c r="D1" s="7"/>
      <c r="E1" s="7"/>
      <c r="F1" s="7"/>
      <c r="G1" s="7"/>
      <c r="H1" s="7"/>
      <c r="U1" s="87" t="s">
        <v>91</v>
      </c>
      <c r="V1" s="87"/>
      <c r="W1" s="87"/>
      <c r="X1" s="87"/>
    </row>
    <row r="2" spans="1:16" ht="12.75">
      <c r="A2" s="7"/>
      <c r="B2" s="7"/>
      <c r="G2" s="35"/>
      <c r="H2" s="34"/>
      <c r="I2" s="86" t="s">
        <v>89</v>
      </c>
      <c r="J2" s="86"/>
      <c r="K2" s="86"/>
      <c r="L2" s="86"/>
      <c r="M2" s="86"/>
      <c r="N2" s="86"/>
      <c r="O2" s="34"/>
      <c r="P2" s="35"/>
    </row>
    <row r="3" spans="1:16" ht="12.75">
      <c r="A3" s="7"/>
      <c r="B3" s="7"/>
      <c r="G3" s="86" t="s">
        <v>49</v>
      </c>
      <c r="H3" s="86"/>
      <c r="I3" s="86"/>
      <c r="J3" s="86"/>
      <c r="K3" s="86"/>
      <c r="L3" s="86"/>
      <c r="M3" s="86"/>
      <c r="N3" s="86"/>
      <c r="O3" s="86"/>
      <c r="P3" s="86"/>
    </row>
    <row r="4" spans="1:16" ht="12.75">
      <c r="A4" s="7"/>
      <c r="B4" s="7"/>
      <c r="G4" s="86" t="s">
        <v>122</v>
      </c>
      <c r="H4" s="86"/>
      <c r="I4" s="86"/>
      <c r="J4" s="86"/>
      <c r="K4" s="86"/>
      <c r="L4" s="86"/>
      <c r="M4" s="86"/>
      <c r="N4" s="86"/>
      <c r="O4" s="86"/>
      <c r="P4" s="86"/>
    </row>
    <row r="5" spans="1:16" ht="12.75">
      <c r="A5" s="3"/>
      <c r="B5" s="7"/>
      <c r="G5" s="35"/>
      <c r="H5" s="88" t="s">
        <v>47</v>
      </c>
      <c r="I5" s="88"/>
      <c r="J5" s="88"/>
      <c r="K5" s="88"/>
      <c r="L5" s="88"/>
      <c r="M5" s="88"/>
      <c r="N5" s="88"/>
      <c r="O5" s="88"/>
      <c r="P5" s="35"/>
    </row>
    <row r="6" spans="1:16" ht="12.75">
      <c r="A6" s="3"/>
      <c r="B6" s="7"/>
      <c r="G6" s="35"/>
      <c r="H6" s="86" t="s">
        <v>134</v>
      </c>
      <c r="I6" s="86"/>
      <c r="J6" s="86"/>
      <c r="K6" s="86"/>
      <c r="L6" s="86"/>
      <c r="M6" s="86"/>
      <c r="N6" s="86"/>
      <c r="O6" s="86"/>
      <c r="P6" s="35"/>
    </row>
    <row r="7" spans="23:24" ht="15">
      <c r="W7" s="105" t="s">
        <v>24</v>
      </c>
      <c r="X7" s="106"/>
    </row>
    <row r="8" spans="1:24" ht="23.25" customHeight="1">
      <c r="A8" s="100" t="s">
        <v>43</v>
      </c>
      <c r="B8" s="83"/>
      <c r="C8" s="70" t="s">
        <v>118</v>
      </c>
      <c r="D8" s="71"/>
      <c r="E8" s="94" t="s">
        <v>93</v>
      </c>
      <c r="F8" s="95"/>
      <c r="G8" s="98" t="s">
        <v>3</v>
      </c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  <c r="X8" s="98"/>
    </row>
    <row r="9" spans="1:24" ht="19.5" customHeight="1">
      <c r="A9" s="109"/>
      <c r="B9" s="84"/>
      <c r="C9" s="92"/>
      <c r="D9" s="93"/>
      <c r="E9" s="96"/>
      <c r="F9" s="97"/>
      <c r="G9" s="98" t="s">
        <v>4</v>
      </c>
      <c r="H9" s="98"/>
      <c r="I9" s="98"/>
      <c r="J9" s="98"/>
      <c r="K9" s="98"/>
      <c r="L9" s="98"/>
      <c r="M9" s="98"/>
      <c r="N9" s="98"/>
      <c r="O9" s="99" t="s">
        <v>51</v>
      </c>
      <c r="P9" s="99"/>
      <c r="Q9" s="99"/>
      <c r="R9" s="99"/>
      <c r="S9" s="99"/>
      <c r="T9" s="99"/>
      <c r="U9" s="99"/>
      <c r="V9" s="99"/>
      <c r="W9" s="99"/>
      <c r="X9" s="99"/>
    </row>
    <row r="10" spans="1:24" ht="21.75" customHeight="1">
      <c r="A10" s="109"/>
      <c r="B10" s="84"/>
      <c r="C10" s="72" t="s">
        <v>25</v>
      </c>
      <c r="D10" s="72" t="s">
        <v>44</v>
      </c>
      <c r="E10" s="72" t="s">
        <v>25</v>
      </c>
      <c r="F10" s="72" t="s">
        <v>44</v>
      </c>
      <c r="G10" s="66" t="s">
        <v>5</v>
      </c>
      <c r="H10" s="67"/>
      <c r="I10" s="67"/>
      <c r="J10" s="68"/>
      <c r="K10" s="77" t="s">
        <v>6</v>
      </c>
      <c r="L10" s="85"/>
      <c r="M10" s="85"/>
      <c r="N10" s="78"/>
      <c r="O10" s="100" t="s">
        <v>7</v>
      </c>
      <c r="P10" s="83"/>
      <c r="Q10" s="77" t="s">
        <v>8</v>
      </c>
      <c r="R10" s="85"/>
      <c r="S10" s="85"/>
      <c r="T10" s="85"/>
      <c r="U10" s="85"/>
      <c r="V10" s="78"/>
      <c r="W10" s="100" t="s">
        <v>9</v>
      </c>
      <c r="X10" s="83"/>
    </row>
    <row r="11" spans="1:24" ht="41.25" customHeight="1">
      <c r="A11" s="109"/>
      <c r="B11" s="84"/>
      <c r="C11" s="73"/>
      <c r="D11" s="73"/>
      <c r="E11" s="73"/>
      <c r="F11" s="73"/>
      <c r="G11" s="103" t="s">
        <v>11</v>
      </c>
      <c r="H11" s="104"/>
      <c r="I11" s="74" t="s">
        <v>12</v>
      </c>
      <c r="J11" s="76"/>
      <c r="K11" s="103" t="s">
        <v>11</v>
      </c>
      <c r="L11" s="104"/>
      <c r="M11" s="74" t="s">
        <v>12</v>
      </c>
      <c r="N11" s="76"/>
      <c r="O11" s="101"/>
      <c r="P11" s="102"/>
      <c r="Q11" s="74" t="s">
        <v>50</v>
      </c>
      <c r="R11" s="76"/>
      <c r="S11" s="77" t="s">
        <v>92</v>
      </c>
      <c r="T11" s="78"/>
      <c r="U11" s="74" t="s">
        <v>10</v>
      </c>
      <c r="V11" s="76"/>
      <c r="W11" s="101"/>
      <c r="X11" s="102"/>
    </row>
    <row r="12" spans="1:24" ht="95.25" customHeight="1">
      <c r="A12" s="109"/>
      <c r="B12" s="84"/>
      <c r="C12" s="73"/>
      <c r="D12" s="91"/>
      <c r="E12" s="73"/>
      <c r="F12" s="91"/>
      <c r="G12" s="20" t="s">
        <v>25</v>
      </c>
      <c r="H12" s="5" t="s">
        <v>45</v>
      </c>
      <c r="I12" s="20" t="s">
        <v>25</v>
      </c>
      <c r="J12" s="5" t="s">
        <v>45</v>
      </c>
      <c r="K12" s="20" t="s">
        <v>25</v>
      </c>
      <c r="L12" s="5" t="s">
        <v>45</v>
      </c>
      <c r="M12" s="20" t="s">
        <v>25</v>
      </c>
      <c r="N12" s="5" t="s">
        <v>45</v>
      </c>
      <c r="O12" s="20" t="s">
        <v>25</v>
      </c>
      <c r="P12" s="5" t="s">
        <v>45</v>
      </c>
      <c r="Q12" s="20" t="s">
        <v>25</v>
      </c>
      <c r="R12" s="5" t="s">
        <v>45</v>
      </c>
      <c r="S12" s="20" t="s">
        <v>25</v>
      </c>
      <c r="T12" s="5" t="s">
        <v>65</v>
      </c>
      <c r="U12" s="20" t="s">
        <v>25</v>
      </c>
      <c r="V12" s="5" t="s">
        <v>45</v>
      </c>
      <c r="W12" s="20" t="s">
        <v>25</v>
      </c>
      <c r="X12" s="5" t="s">
        <v>45</v>
      </c>
    </row>
    <row r="13" spans="1:24" ht="15" customHeight="1">
      <c r="A13" s="110">
        <v>1</v>
      </c>
      <c r="B13" s="111"/>
      <c r="C13" s="16">
        <v>2</v>
      </c>
      <c r="D13" s="16">
        <v>3</v>
      </c>
      <c r="E13" s="16">
        <v>4</v>
      </c>
      <c r="F13" s="16">
        <v>5</v>
      </c>
      <c r="G13" s="16">
        <v>6</v>
      </c>
      <c r="H13" s="16">
        <v>7</v>
      </c>
      <c r="I13" s="16">
        <v>8</v>
      </c>
      <c r="J13" s="16">
        <v>9</v>
      </c>
      <c r="K13" s="16">
        <v>10</v>
      </c>
      <c r="L13" s="16">
        <v>11</v>
      </c>
      <c r="M13" s="16">
        <v>12</v>
      </c>
      <c r="N13" s="16">
        <v>13</v>
      </c>
      <c r="O13" s="16">
        <v>14</v>
      </c>
      <c r="P13" s="16">
        <v>15</v>
      </c>
      <c r="Q13" s="16">
        <v>16</v>
      </c>
      <c r="R13" s="16">
        <v>17</v>
      </c>
      <c r="S13" s="16">
        <v>18</v>
      </c>
      <c r="T13" s="16">
        <v>19</v>
      </c>
      <c r="U13" s="16">
        <v>20</v>
      </c>
      <c r="V13" s="16">
        <v>21</v>
      </c>
      <c r="W13" s="16">
        <v>22</v>
      </c>
      <c r="X13" s="16">
        <v>23</v>
      </c>
    </row>
    <row r="14" spans="1:24" ht="30.75" customHeight="1">
      <c r="A14" s="21">
        <v>200</v>
      </c>
      <c r="B14" s="22" t="s">
        <v>42</v>
      </c>
      <c r="C14" s="32">
        <f>C15+C22+C23+C24+C25</f>
        <v>51623.67</v>
      </c>
      <c r="D14" s="32">
        <f aca="true" t="shared" si="0" ref="D14:X14">D15+D22+D23+D24+D25</f>
        <v>48584.86</v>
      </c>
      <c r="E14" s="32">
        <f t="shared" si="0"/>
        <v>29670.549999999996</v>
      </c>
      <c r="F14" s="32">
        <f t="shared" si="0"/>
        <v>28279.510000000002</v>
      </c>
      <c r="G14" s="32">
        <f t="shared" si="0"/>
        <v>418.8</v>
      </c>
      <c r="H14" s="32">
        <f t="shared" si="0"/>
        <v>418.8</v>
      </c>
      <c r="I14" s="32">
        <f t="shared" si="0"/>
        <v>0</v>
      </c>
      <c r="J14" s="32">
        <f t="shared" si="0"/>
        <v>0</v>
      </c>
      <c r="K14" s="32">
        <f t="shared" si="0"/>
        <v>7523.200000000001</v>
      </c>
      <c r="L14" s="32">
        <f t="shared" si="0"/>
        <v>7523.200000000001</v>
      </c>
      <c r="M14" s="32">
        <f t="shared" si="0"/>
        <v>0</v>
      </c>
      <c r="N14" s="32">
        <f t="shared" si="0"/>
        <v>0</v>
      </c>
      <c r="O14" s="32">
        <f t="shared" si="0"/>
        <v>1153.1</v>
      </c>
      <c r="P14" s="32">
        <f t="shared" si="0"/>
        <v>1111.1</v>
      </c>
      <c r="Q14" s="32">
        <f>Q15+Q22+Q23+Q24+Q25</f>
        <v>8314.28</v>
      </c>
      <c r="R14" s="32">
        <f>R15+R22+R23+R24+R25</f>
        <v>7829.499999999999</v>
      </c>
      <c r="S14" s="32">
        <f>S15+S22+S23+S24+S25</f>
        <v>3204.9</v>
      </c>
      <c r="T14" s="32">
        <f>T15+T22+T23+T24+T25</f>
        <v>3204.9</v>
      </c>
      <c r="U14" s="32">
        <f t="shared" si="0"/>
        <v>9056.27</v>
      </c>
      <c r="V14" s="32">
        <f t="shared" si="0"/>
        <v>8192.01</v>
      </c>
      <c r="W14" s="32">
        <f t="shared" si="0"/>
        <v>0</v>
      </c>
      <c r="X14" s="32">
        <f t="shared" si="0"/>
        <v>0</v>
      </c>
    </row>
    <row r="15" spans="1:24" ht="30.75" customHeight="1">
      <c r="A15" s="23">
        <v>220</v>
      </c>
      <c r="B15" s="24" t="s">
        <v>26</v>
      </c>
      <c r="C15" s="32">
        <f>C16+C17+C18+C19+C20+C21</f>
        <v>42208.97</v>
      </c>
      <c r="D15" s="32">
        <f aca="true" t="shared" si="1" ref="D15:X15">D16+D17+D18+D19+D20+D21</f>
        <v>39287.16</v>
      </c>
      <c r="E15" s="32">
        <f t="shared" si="1"/>
        <v>24028.969999999998</v>
      </c>
      <c r="F15" s="32">
        <f t="shared" si="1"/>
        <v>22640.93</v>
      </c>
      <c r="G15" s="32">
        <f t="shared" si="1"/>
        <v>418.8</v>
      </c>
      <c r="H15" s="32">
        <f t="shared" si="1"/>
        <v>418.8</v>
      </c>
      <c r="I15" s="32">
        <f t="shared" si="1"/>
        <v>0</v>
      </c>
      <c r="J15" s="32">
        <f t="shared" si="1"/>
        <v>0</v>
      </c>
      <c r="K15" s="32">
        <f t="shared" si="1"/>
        <v>7523.200000000001</v>
      </c>
      <c r="L15" s="32">
        <f t="shared" si="1"/>
        <v>7523.200000000001</v>
      </c>
      <c r="M15" s="32">
        <f t="shared" si="1"/>
        <v>0</v>
      </c>
      <c r="N15" s="32">
        <f t="shared" si="1"/>
        <v>0</v>
      </c>
      <c r="O15" s="32">
        <f t="shared" si="1"/>
        <v>1153.1</v>
      </c>
      <c r="P15" s="32">
        <f t="shared" si="1"/>
        <v>1111.1</v>
      </c>
      <c r="Q15" s="32">
        <f>Q16+Q17+Q18+Q19+Q20+Q21</f>
        <v>7420.000000000001</v>
      </c>
      <c r="R15" s="32">
        <f>R16+R17+R18+R19+R20+R21</f>
        <v>6935.219999999999</v>
      </c>
      <c r="S15" s="32">
        <f>S16+S17+S18+S19+S20+S21</f>
        <v>3204.9</v>
      </c>
      <c r="T15" s="32">
        <f>T16+T17+T18+T19+T20+T21</f>
        <v>3204.9</v>
      </c>
      <c r="U15" s="32">
        <f t="shared" si="1"/>
        <v>4308.969999999999</v>
      </c>
      <c r="V15" s="32">
        <f t="shared" si="1"/>
        <v>3447.71</v>
      </c>
      <c r="W15" s="32">
        <f t="shared" si="1"/>
        <v>0</v>
      </c>
      <c r="X15" s="32">
        <f t="shared" si="1"/>
        <v>0</v>
      </c>
    </row>
    <row r="16" spans="1:24" ht="30.75" customHeight="1">
      <c r="A16" s="25">
        <v>221</v>
      </c>
      <c r="B16" s="26" t="s">
        <v>27</v>
      </c>
      <c r="C16" s="16">
        <f>255.9+41.7+400+1.4+27+36+789.6+17.8+54.75</f>
        <v>1624.1499999999999</v>
      </c>
      <c r="D16" s="16">
        <f>255.9+41.7+350+1.4+27+36+789.6+4+15.92</f>
        <v>1521.52</v>
      </c>
      <c r="E16" s="32">
        <f>G16+I16+K16+M16+O16+Q16+S16+U16+W16</f>
        <v>810.41</v>
      </c>
      <c r="F16" s="32">
        <f>H16+J16+L16+N16+P16+R16+T16+V16+X16</f>
        <v>784.6399999999999</v>
      </c>
      <c r="G16" s="31"/>
      <c r="H16" s="5"/>
      <c r="I16" s="20"/>
      <c r="J16" s="5"/>
      <c r="K16" s="20"/>
      <c r="L16" s="5"/>
      <c r="M16" s="20"/>
      <c r="N16" s="5"/>
      <c r="O16" s="20"/>
      <c r="P16" s="5"/>
      <c r="Q16" s="20">
        <f>140.8+25.7+215.9+0.7+20.4+26+339.6+11.21</f>
        <v>780.31</v>
      </c>
      <c r="R16" s="41">
        <f>140.8+25.7+207.9+0.7+20.4+26+339.6+1.1</f>
        <v>762.1999999999999</v>
      </c>
      <c r="S16" s="41"/>
      <c r="T16" s="5"/>
      <c r="U16" s="20">
        <f>11.1+1.1+17.9</f>
        <v>30.099999999999998</v>
      </c>
      <c r="V16" s="5">
        <f>11.1+1.1+10.24</f>
        <v>22.439999999999998</v>
      </c>
      <c r="W16" s="20"/>
      <c r="X16" s="5"/>
    </row>
    <row r="17" spans="1:24" ht="30.75" customHeight="1">
      <c r="A17" s="23">
        <v>222</v>
      </c>
      <c r="B17" s="24" t="s">
        <v>28</v>
      </c>
      <c r="C17" s="16">
        <f>6+112+15+149.5+7</f>
        <v>289.5</v>
      </c>
      <c r="D17" s="16">
        <f>6+100+15+149.5+7</f>
        <v>277.5</v>
      </c>
      <c r="E17" s="32">
        <f aca="true" t="shared" si="2" ref="E17:E25">G17+I17+K17+M17+O17+Q17+S17+U17+W17</f>
        <v>87.07000000000001</v>
      </c>
      <c r="F17" s="32">
        <f aca="true" t="shared" si="3" ref="F17:F25">H17+J17+L17+N17+P17+R17+T17+V17+X17</f>
        <v>84.17</v>
      </c>
      <c r="G17" s="31"/>
      <c r="H17" s="5"/>
      <c r="I17" s="20"/>
      <c r="J17" s="5"/>
      <c r="K17" s="20"/>
      <c r="L17" s="5"/>
      <c r="M17" s="20"/>
      <c r="N17" s="5"/>
      <c r="O17" s="20"/>
      <c r="P17" s="5"/>
      <c r="Q17" s="20">
        <f>4.6+2.9</f>
        <v>7.5</v>
      </c>
      <c r="R17" s="41">
        <f>4.6+2.9</f>
        <v>7.5</v>
      </c>
      <c r="S17" s="41"/>
      <c r="T17" s="5"/>
      <c r="U17" s="20">
        <f>4.6+14.1+54+6.87</f>
        <v>79.57000000000001</v>
      </c>
      <c r="V17" s="5">
        <f>4.6+11.2+54+6.87</f>
        <v>76.67</v>
      </c>
      <c r="W17" s="20"/>
      <c r="X17" s="5"/>
    </row>
    <row r="18" spans="1:24" ht="30.75" customHeight="1">
      <c r="A18" s="23">
        <v>223</v>
      </c>
      <c r="B18" s="24" t="s">
        <v>29</v>
      </c>
      <c r="C18" s="16">
        <f>320+23.6+2634+99.4+169.9+192.1+7169+1099.4+612.74</f>
        <v>12320.14</v>
      </c>
      <c r="D18" s="16">
        <f>320+23.6+2604+99.4+169.9+192.1+7143+391.95+612.74</f>
        <v>11556.69</v>
      </c>
      <c r="E18" s="32">
        <f t="shared" si="2"/>
        <v>6365.81</v>
      </c>
      <c r="F18" s="32">
        <f t="shared" si="3"/>
        <v>6099.55</v>
      </c>
      <c r="G18" s="31"/>
      <c r="H18" s="5"/>
      <c r="I18" s="20"/>
      <c r="J18" s="5"/>
      <c r="K18" s="20"/>
      <c r="L18" s="5"/>
      <c r="M18" s="20"/>
      <c r="N18" s="5"/>
      <c r="O18" s="20"/>
      <c r="P18" s="5"/>
      <c r="Q18" s="20">
        <f>216.5+12.6+1535.63+11.8+118.5+82.7+3416.6+554.27+343.21</f>
        <v>6291.81</v>
      </c>
      <c r="R18" s="41">
        <f>216.5+12.6+1520.63+11.8+118.5+82.7+3416.6+303.01+343.21</f>
        <v>6025.55</v>
      </c>
      <c r="S18" s="41"/>
      <c r="T18" s="5"/>
      <c r="U18" s="20">
        <v>74</v>
      </c>
      <c r="V18" s="5">
        <v>74</v>
      </c>
      <c r="W18" s="20"/>
      <c r="X18" s="5"/>
    </row>
    <row r="19" spans="1:24" ht="30.75" customHeight="1">
      <c r="A19" s="25">
        <v>224</v>
      </c>
      <c r="B19" s="26" t="s">
        <v>30</v>
      </c>
      <c r="C19" s="16"/>
      <c r="D19" s="16"/>
      <c r="E19" s="32">
        <f t="shared" si="2"/>
        <v>0</v>
      </c>
      <c r="F19" s="32">
        <f t="shared" si="3"/>
        <v>0</v>
      </c>
      <c r="G19" s="31"/>
      <c r="H19" s="5"/>
      <c r="I19" s="20"/>
      <c r="J19" s="5"/>
      <c r="K19" s="20"/>
      <c r="L19" s="5"/>
      <c r="M19" s="20"/>
      <c r="N19" s="5"/>
      <c r="O19" s="20"/>
      <c r="P19" s="5"/>
      <c r="Q19" s="20"/>
      <c r="R19" s="41"/>
      <c r="S19" s="41"/>
      <c r="T19" s="5"/>
      <c r="U19" s="20"/>
      <c r="V19" s="5"/>
      <c r="W19" s="20"/>
      <c r="X19" s="5"/>
    </row>
    <row r="20" spans="1:24" ht="30.75" customHeight="1">
      <c r="A20" s="23">
        <v>225</v>
      </c>
      <c r="B20" s="24" t="s">
        <v>31</v>
      </c>
      <c r="C20" s="16">
        <f>11353.1+8.5+7238+10.5+2534.4+3.3+1952+243.24+346.9</f>
        <v>23689.940000000002</v>
      </c>
      <c r="D20" s="16">
        <f>11353.1+8.5+5950+10.5+2534.4+3.3+1926+29+346.9</f>
        <v>22161.7</v>
      </c>
      <c r="E20" s="32">
        <f>G20+I20+K20+M20+O20+Q20+S20+U20+W20</f>
        <v>13618.88</v>
      </c>
      <c r="F20" s="32">
        <f t="shared" si="3"/>
        <v>13393.4</v>
      </c>
      <c r="G20" s="31">
        <v>418.8</v>
      </c>
      <c r="H20" s="5">
        <v>418.8</v>
      </c>
      <c r="I20" s="20"/>
      <c r="J20" s="5"/>
      <c r="K20" s="20">
        <f>4233.5+764.3+2525.4</f>
        <v>7523.200000000001</v>
      </c>
      <c r="L20" s="5">
        <f>4233.5+764.3+2525.4</f>
        <v>7523.200000000001</v>
      </c>
      <c r="M20" s="20"/>
      <c r="N20" s="5"/>
      <c r="O20" s="20">
        <v>380</v>
      </c>
      <c r="P20" s="5">
        <v>380</v>
      </c>
      <c r="Q20" s="20">
        <v>215.18</v>
      </c>
      <c r="R20" s="41">
        <v>28.4</v>
      </c>
      <c r="S20" s="41">
        <f>3204.9</f>
        <v>3204.9</v>
      </c>
      <c r="T20" s="5">
        <v>3204.9</v>
      </c>
      <c r="U20" s="20">
        <f>481.4+3.8+461+10.5+6.7+1.2+760.4+151.8</f>
        <v>1876.8</v>
      </c>
      <c r="V20" s="5">
        <f>481.4+3.8+422.3+10.5+6.7+1.2+760.4+151.8</f>
        <v>1838.1000000000001</v>
      </c>
      <c r="W20" s="20"/>
      <c r="X20" s="5"/>
    </row>
    <row r="21" spans="1:24" ht="30.75" customHeight="1">
      <c r="A21" s="25">
        <v>226</v>
      </c>
      <c r="B21" s="26" t="s">
        <v>32</v>
      </c>
      <c r="C21" s="16">
        <f>1148.5+110+1684+31+197.4+1079+35.34</f>
        <v>4285.24</v>
      </c>
      <c r="D21" s="16">
        <f>1148.5+110+1184+31+197.4+1073+25.85</f>
        <v>3769.75</v>
      </c>
      <c r="E21" s="32">
        <f t="shared" si="2"/>
        <v>3146.8</v>
      </c>
      <c r="F21" s="32">
        <f t="shared" si="3"/>
        <v>2279.17</v>
      </c>
      <c r="G21" s="31"/>
      <c r="H21" s="5"/>
      <c r="I21" s="20"/>
      <c r="J21" s="5"/>
      <c r="K21" s="20"/>
      <c r="L21" s="5"/>
      <c r="M21" s="20"/>
      <c r="N21" s="5"/>
      <c r="O21" s="20">
        <v>773.1</v>
      </c>
      <c r="P21" s="5">
        <v>731.1</v>
      </c>
      <c r="Q21" s="20">
        <f>99.2+26</f>
        <v>125.2</v>
      </c>
      <c r="R21" s="41">
        <f>99.2+12.37</f>
        <v>111.57000000000001</v>
      </c>
      <c r="S21" s="41"/>
      <c r="T21" s="5"/>
      <c r="U21" s="20">
        <f>143.5+3.4+1288+25.3+82.7+705.6</f>
        <v>2248.5</v>
      </c>
      <c r="V21" s="5">
        <f>143.5+3.4+476+25.3+82.7+705.6</f>
        <v>1436.5</v>
      </c>
      <c r="W21" s="20"/>
      <c r="X21" s="5"/>
    </row>
    <row r="22" spans="1:24" ht="40.5" customHeight="1">
      <c r="A22" s="23">
        <v>241</v>
      </c>
      <c r="B22" s="24" t="s">
        <v>33</v>
      </c>
      <c r="C22" s="16"/>
      <c r="D22" s="16"/>
      <c r="E22" s="32">
        <f t="shared" si="2"/>
        <v>0</v>
      </c>
      <c r="F22" s="32">
        <f t="shared" si="3"/>
        <v>0</v>
      </c>
      <c r="G22" s="31"/>
      <c r="H22" s="5"/>
      <c r="I22" s="20"/>
      <c r="J22" s="5"/>
      <c r="K22" s="20"/>
      <c r="L22" s="5"/>
      <c r="M22" s="20"/>
      <c r="N22" s="5"/>
      <c r="O22" s="20"/>
      <c r="P22" s="5"/>
      <c r="Q22" s="20"/>
      <c r="R22" s="41"/>
      <c r="S22" s="41"/>
      <c r="T22" s="5"/>
      <c r="U22" s="20"/>
      <c r="V22" s="5"/>
      <c r="W22" s="20"/>
      <c r="X22" s="5"/>
    </row>
    <row r="23" spans="1:24" ht="54.75" customHeight="1">
      <c r="A23" s="23">
        <v>242</v>
      </c>
      <c r="B23" s="24" t="s">
        <v>34</v>
      </c>
      <c r="C23" s="16"/>
      <c r="D23" s="16"/>
      <c r="E23" s="32">
        <f t="shared" si="2"/>
        <v>0</v>
      </c>
      <c r="F23" s="32">
        <f t="shared" si="3"/>
        <v>0</v>
      </c>
      <c r="G23" s="31"/>
      <c r="H23" s="5"/>
      <c r="I23" s="20"/>
      <c r="J23" s="5"/>
      <c r="K23" s="20"/>
      <c r="L23" s="5"/>
      <c r="M23" s="20"/>
      <c r="N23" s="5"/>
      <c r="O23" s="20"/>
      <c r="P23" s="5"/>
      <c r="Q23" s="20"/>
      <c r="R23" s="41"/>
      <c r="S23" s="41"/>
      <c r="T23" s="5"/>
      <c r="U23" s="20"/>
      <c r="V23" s="5"/>
      <c r="W23" s="20"/>
      <c r="X23" s="5"/>
    </row>
    <row r="24" spans="1:24" ht="30" customHeight="1">
      <c r="A24" s="23">
        <v>262</v>
      </c>
      <c r="B24" s="24" t="s">
        <v>35</v>
      </c>
      <c r="C24" s="16"/>
      <c r="D24" s="16"/>
      <c r="E24" s="32">
        <f t="shared" si="2"/>
        <v>0</v>
      </c>
      <c r="F24" s="32">
        <f t="shared" si="3"/>
        <v>0</v>
      </c>
      <c r="G24" s="31"/>
      <c r="H24" s="5"/>
      <c r="I24" s="20"/>
      <c r="J24" s="5"/>
      <c r="K24" s="20"/>
      <c r="L24" s="5"/>
      <c r="M24" s="20"/>
      <c r="N24" s="5"/>
      <c r="O24" s="20"/>
      <c r="P24" s="5"/>
      <c r="Q24" s="20"/>
      <c r="R24" s="41"/>
      <c r="S24" s="41"/>
      <c r="T24" s="5"/>
      <c r="U24" s="20"/>
      <c r="V24" s="5"/>
      <c r="W24" s="20"/>
      <c r="X24" s="5"/>
    </row>
    <row r="25" spans="1:24" ht="32.25" customHeight="1">
      <c r="A25" s="23">
        <v>290</v>
      </c>
      <c r="B25" s="24" t="s">
        <v>36</v>
      </c>
      <c r="C25" s="16">
        <f>939.5+11.7+600+173.1+149.2+190+6730+621.2</f>
        <v>9414.7</v>
      </c>
      <c r="D25" s="16">
        <f>939.5+11.7+500+173.1+149.2+190+6713+621.2</f>
        <v>9297.7</v>
      </c>
      <c r="E25" s="32">
        <f t="shared" si="2"/>
        <v>5641.58</v>
      </c>
      <c r="F25" s="32">
        <f t="shared" si="3"/>
        <v>5638.58</v>
      </c>
      <c r="G25" s="31"/>
      <c r="H25" s="5"/>
      <c r="I25" s="20"/>
      <c r="J25" s="5"/>
      <c r="K25" s="20"/>
      <c r="L25" s="5"/>
      <c r="M25" s="20"/>
      <c r="N25" s="5"/>
      <c r="O25" s="20"/>
      <c r="P25" s="5"/>
      <c r="Q25" s="20">
        <f>122.2+106.6+130.5+534.98</f>
        <v>894.28</v>
      </c>
      <c r="R25" s="41">
        <f>122.2+106.6+130.5+534.98</f>
        <v>894.28</v>
      </c>
      <c r="S25" s="41"/>
      <c r="T25" s="5"/>
      <c r="U25" s="20">
        <f>293.3+394+4060</f>
        <v>4747.3</v>
      </c>
      <c r="V25" s="5">
        <f>293.3+391+4060</f>
        <v>4744.3</v>
      </c>
      <c r="W25" s="20"/>
      <c r="X25" s="5"/>
    </row>
    <row r="26" spans="1:24" ht="32.25" customHeight="1">
      <c r="A26" s="27">
        <v>300</v>
      </c>
      <c r="B26" s="28" t="s">
        <v>37</v>
      </c>
      <c r="C26" s="32">
        <f>C27+C28+C29</f>
        <v>77187.28</v>
      </c>
      <c r="D26" s="32">
        <f aca="true" t="shared" si="4" ref="D26:T26">D27+D28+D29</f>
        <v>54686.56999999999</v>
      </c>
      <c r="E26" s="32">
        <f t="shared" si="4"/>
        <v>56246.64</v>
      </c>
      <c r="F26" s="32">
        <f t="shared" si="4"/>
        <v>44210.61</v>
      </c>
      <c r="G26" s="32">
        <f t="shared" si="4"/>
        <v>0</v>
      </c>
      <c r="H26" s="32">
        <f t="shared" si="4"/>
        <v>0</v>
      </c>
      <c r="I26" s="32">
        <f t="shared" si="4"/>
        <v>0</v>
      </c>
      <c r="J26" s="32">
        <f t="shared" si="4"/>
        <v>0</v>
      </c>
      <c r="K26" s="32">
        <f t="shared" si="4"/>
        <v>40266.5</v>
      </c>
      <c r="L26" s="32">
        <f t="shared" si="4"/>
        <v>35746.5</v>
      </c>
      <c r="M26" s="32">
        <f t="shared" si="4"/>
        <v>0</v>
      </c>
      <c r="N26" s="32">
        <f t="shared" si="4"/>
        <v>0</v>
      </c>
      <c r="O26" s="32">
        <f t="shared" si="4"/>
        <v>2336</v>
      </c>
      <c r="P26" s="32">
        <f t="shared" si="4"/>
        <v>643</v>
      </c>
      <c r="Q26" s="32">
        <f t="shared" si="4"/>
        <v>1068.24</v>
      </c>
      <c r="R26" s="32">
        <f t="shared" si="4"/>
        <v>761.71</v>
      </c>
      <c r="S26" s="32">
        <f t="shared" si="4"/>
        <v>137</v>
      </c>
      <c r="T26" s="32">
        <f t="shared" si="4"/>
        <v>137</v>
      </c>
      <c r="U26" s="32">
        <f>U27+U28+U29</f>
        <v>12438.9</v>
      </c>
      <c r="V26" s="32">
        <f>V27+V28+V29</f>
        <v>6922.4</v>
      </c>
      <c r="W26" s="32">
        <f>W27+W28+W29</f>
        <v>0</v>
      </c>
      <c r="X26" s="32">
        <f>X27+X28+X29</f>
        <v>0</v>
      </c>
    </row>
    <row r="27" spans="1:24" ht="30" customHeight="1">
      <c r="A27" s="29">
        <v>310</v>
      </c>
      <c r="B27" s="30" t="s">
        <v>38</v>
      </c>
      <c r="C27" s="16">
        <f>39858.5+37.2+6400+123.2+101.5+206.9+2347+50+218</f>
        <v>49342.299999999996</v>
      </c>
      <c r="D27" s="16">
        <f>39858.5+37.2+2207.5+123.2+101.5+206.9+2347+218</f>
        <v>45099.799999999996</v>
      </c>
      <c r="E27" s="32">
        <f aca="true" t="shared" si="5" ref="E27:F29">G27+I27+K27+M27+O27+Q27+S27+U27+W27</f>
        <v>43069.67</v>
      </c>
      <c r="F27" s="32">
        <f t="shared" si="5"/>
        <v>38772.6</v>
      </c>
      <c r="G27" s="31"/>
      <c r="H27" s="5"/>
      <c r="I27" s="20"/>
      <c r="J27" s="5"/>
      <c r="K27" s="20">
        <f>34746.5+2640</f>
        <v>37386.5</v>
      </c>
      <c r="L27" s="5">
        <f>34746.5+1000</f>
        <v>35746.5</v>
      </c>
      <c r="M27" s="20"/>
      <c r="N27" s="5"/>
      <c r="O27" s="20">
        <v>1337</v>
      </c>
      <c r="P27" s="5">
        <v>543</v>
      </c>
      <c r="Q27" s="20">
        <f>4.57+216.6</f>
        <v>221.17</v>
      </c>
      <c r="R27" s="41">
        <v>116.6</v>
      </c>
      <c r="S27" s="41"/>
      <c r="T27" s="5"/>
      <c r="U27" s="20">
        <f>161.7+3.2+2423+123.2+101.5+140.4+1172</f>
        <v>4125</v>
      </c>
      <c r="V27" s="5">
        <f>161.7+3.2+664.5+123.2+101.5+140.4+1172</f>
        <v>2366.5</v>
      </c>
      <c r="W27" s="20"/>
      <c r="X27" s="5"/>
    </row>
    <row r="28" spans="1:24" ht="30" customHeight="1">
      <c r="A28" s="25">
        <v>320</v>
      </c>
      <c r="B28" s="26" t="s">
        <v>39</v>
      </c>
      <c r="C28" s="16"/>
      <c r="D28" s="16"/>
      <c r="E28" s="32">
        <f t="shared" si="5"/>
        <v>0</v>
      </c>
      <c r="F28" s="32">
        <f t="shared" si="5"/>
        <v>0</v>
      </c>
      <c r="G28" s="31"/>
      <c r="H28" s="5"/>
      <c r="I28" s="20"/>
      <c r="J28" s="5"/>
      <c r="K28" s="20"/>
      <c r="L28" s="5"/>
      <c r="M28" s="20"/>
      <c r="N28" s="5"/>
      <c r="O28" s="20"/>
      <c r="P28" s="5"/>
      <c r="Q28" s="20"/>
      <c r="R28" s="41"/>
      <c r="S28" s="41"/>
      <c r="T28" s="5"/>
      <c r="U28" s="20"/>
      <c r="V28" s="5"/>
      <c r="W28" s="20"/>
      <c r="X28" s="5"/>
    </row>
    <row r="29" spans="1:24" ht="30" customHeight="1">
      <c r="A29" s="23">
        <v>340</v>
      </c>
      <c r="B29" s="24" t="s">
        <v>40</v>
      </c>
      <c r="C29" s="16">
        <f>467.6+98.1+12913+164.6+35.9+13371.6+311.98+482.2</f>
        <v>27844.980000000003</v>
      </c>
      <c r="D29" s="16">
        <f>467.6+98.1+2315+164.6+35.9+6022+22.11+461.46</f>
        <v>9586.77</v>
      </c>
      <c r="E29" s="32">
        <f t="shared" si="5"/>
        <v>13176.97</v>
      </c>
      <c r="F29" s="32">
        <f t="shared" si="5"/>
        <v>5438.009999999999</v>
      </c>
      <c r="G29" s="31"/>
      <c r="H29" s="5"/>
      <c r="I29" s="20"/>
      <c r="J29" s="5"/>
      <c r="K29" s="20">
        <v>2880</v>
      </c>
      <c r="L29" s="5"/>
      <c r="M29" s="20"/>
      <c r="N29" s="5"/>
      <c r="O29" s="20">
        <v>999</v>
      </c>
      <c r="P29" s="5">
        <v>100</v>
      </c>
      <c r="Q29" s="20">
        <f>150+34+161+203.37+298.7</f>
        <v>847.0699999999999</v>
      </c>
      <c r="R29" s="41">
        <f>150+34+161+22.11+278</f>
        <v>645.11</v>
      </c>
      <c r="S29" s="41">
        <v>137</v>
      </c>
      <c r="T29" s="5">
        <v>137</v>
      </c>
      <c r="U29" s="20">
        <f>178.8+37+1956+141.5+20.6+5980</f>
        <v>8313.9</v>
      </c>
      <c r="V29" s="5">
        <f>178.8+37+933+141.5+20.6+3245</f>
        <v>4555.9</v>
      </c>
      <c r="W29" s="20"/>
      <c r="X29" s="5"/>
    </row>
    <row r="30" spans="1:24" ht="15" customHeight="1">
      <c r="A30" s="107" t="s">
        <v>41</v>
      </c>
      <c r="B30" s="108"/>
      <c r="C30" s="37">
        <f>C14+C26</f>
        <v>128810.95</v>
      </c>
      <c r="D30" s="37">
        <f aca="true" t="shared" si="6" ref="D30:X30">D14+D26</f>
        <v>103271.43</v>
      </c>
      <c r="E30" s="37">
        <f t="shared" si="6"/>
        <v>85917.19</v>
      </c>
      <c r="F30" s="37">
        <f t="shared" si="6"/>
        <v>72490.12</v>
      </c>
      <c r="G30" s="37">
        <f t="shared" si="6"/>
        <v>418.8</v>
      </c>
      <c r="H30" s="37">
        <f t="shared" si="6"/>
        <v>418.8</v>
      </c>
      <c r="I30" s="37">
        <f t="shared" si="6"/>
        <v>0</v>
      </c>
      <c r="J30" s="37">
        <f t="shared" si="6"/>
        <v>0</v>
      </c>
      <c r="K30" s="37">
        <f t="shared" si="6"/>
        <v>47789.7</v>
      </c>
      <c r="L30" s="37">
        <f t="shared" si="6"/>
        <v>43269.7</v>
      </c>
      <c r="M30" s="37">
        <f t="shared" si="6"/>
        <v>0</v>
      </c>
      <c r="N30" s="37">
        <f t="shared" si="6"/>
        <v>0</v>
      </c>
      <c r="O30" s="37">
        <f t="shared" si="6"/>
        <v>3489.1</v>
      </c>
      <c r="P30" s="37">
        <f t="shared" si="6"/>
        <v>1754.1</v>
      </c>
      <c r="Q30" s="37">
        <f t="shared" si="6"/>
        <v>9382.52</v>
      </c>
      <c r="R30" s="37">
        <f t="shared" si="6"/>
        <v>8591.21</v>
      </c>
      <c r="S30" s="37">
        <f t="shared" si="6"/>
        <v>3341.9</v>
      </c>
      <c r="T30" s="37">
        <f t="shared" si="6"/>
        <v>3341.9</v>
      </c>
      <c r="U30" s="37">
        <f t="shared" si="6"/>
        <v>21495.17</v>
      </c>
      <c r="V30" s="37">
        <f t="shared" si="6"/>
        <v>15114.41</v>
      </c>
      <c r="W30" s="37">
        <f t="shared" si="6"/>
        <v>0</v>
      </c>
      <c r="X30" s="37">
        <f t="shared" si="6"/>
        <v>0</v>
      </c>
    </row>
    <row r="31" spans="1:24" ht="28.5" customHeight="1">
      <c r="A31" s="69" t="s">
        <v>66</v>
      </c>
      <c r="B31" s="69"/>
      <c r="C31" s="33" t="s">
        <v>46</v>
      </c>
      <c r="D31" s="33" t="s">
        <v>46</v>
      </c>
      <c r="E31" s="32">
        <f aca="true" t="shared" si="7" ref="E31:F33">G31+I31+K31+M31+O31+Q31+S31+U31+W31</f>
        <v>59173.2</v>
      </c>
      <c r="F31" s="32">
        <f t="shared" si="7"/>
        <v>53318.5</v>
      </c>
      <c r="G31" s="18"/>
      <c r="H31" s="12"/>
      <c r="I31" s="18"/>
      <c r="J31" s="12"/>
      <c r="K31" s="12">
        <f>38980+3404</f>
        <v>42384</v>
      </c>
      <c r="L31" s="12">
        <f>38980+1764.3</f>
        <v>40744.3</v>
      </c>
      <c r="M31" s="12"/>
      <c r="N31" s="12"/>
      <c r="O31" s="12">
        <f>773.1+1717</f>
        <v>2490.1</v>
      </c>
      <c r="P31" s="12">
        <f>773.1+1717</f>
        <v>2490.1</v>
      </c>
      <c r="Q31" s="12">
        <f>158.9+662.5</f>
        <v>821.4</v>
      </c>
      <c r="R31" s="12">
        <f>158.9+647</f>
        <v>805.9</v>
      </c>
      <c r="S31" s="12">
        <v>3204.9</v>
      </c>
      <c r="T31" s="18">
        <v>3204.9</v>
      </c>
      <c r="U31" s="19">
        <f>624.9+48.5+3320+123.2+243+161+5752.2</f>
        <v>10272.8</v>
      </c>
      <c r="V31" s="17">
        <f>624.9+48.5+1840+123.2+243+161+3032.7</f>
        <v>6073.299999999999</v>
      </c>
      <c r="W31" s="19"/>
      <c r="X31" s="17"/>
    </row>
    <row r="32" spans="1:24" ht="28.5" customHeight="1">
      <c r="A32" s="89" t="s">
        <v>67</v>
      </c>
      <c r="B32" s="90"/>
      <c r="C32" s="33" t="s">
        <v>46</v>
      </c>
      <c r="D32" s="33" t="s">
        <v>46</v>
      </c>
      <c r="E32" s="32">
        <f t="shared" si="7"/>
        <v>0</v>
      </c>
      <c r="F32" s="32">
        <f t="shared" si="7"/>
        <v>0</v>
      </c>
      <c r="G32" s="18"/>
      <c r="H32" s="12"/>
      <c r="I32" s="18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8"/>
      <c r="U32" s="12"/>
      <c r="V32" s="12"/>
      <c r="W32" s="19"/>
      <c r="X32" s="17"/>
    </row>
    <row r="33" spans="1:24" ht="21" customHeight="1">
      <c r="A33" s="69" t="s">
        <v>68</v>
      </c>
      <c r="B33" s="69"/>
      <c r="C33" s="33" t="s">
        <v>46</v>
      </c>
      <c r="D33" s="33" t="s">
        <v>46</v>
      </c>
      <c r="E33" s="32">
        <f t="shared" si="7"/>
        <v>0</v>
      </c>
      <c r="F33" s="32">
        <f t="shared" si="7"/>
        <v>0</v>
      </c>
      <c r="G33" s="18"/>
      <c r="H33" s="12"/>
      <c r="I33" s="18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8"/>
      <c r="U33" s="12"/>
      <c r="V33" s="12"/>
      <c r="W33" s="19"/>
      <c r="X33" s="17"/>
    </row>
    <row r="34" spans="1:24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</sheetData>
  <sheetProtection/>
  <mergeCells count="34">
    <mergeCell ref="U1:X1"/>
    <mergeCell ref="I2:N2"/>
    <mergeCell ref="A33:B33"/>
    <mergeCell ref="W7:X7"/>
    <mergeCell ref="A30:B30"/>
    <mergeCell ref="A8:B12"/>
    <mergeCell ref="A13:B13"/>
    <mergeCell ref="K11:L11"/>
    <mergeCell ref="G3:P3"/>
    <mergeCell ref="G4:P4"/>
    <mergeCell ref="W10:X11"/>
    <mergeCell ref="U11:V11"/>
    <mergeCell ref="Q10:V10"/>
    <mergeCell ref="H5:O5"/>
    <mergeCell ref="H6:O6"/>
    <mergeCell ref="G11:H11"/>
    <mergeCell ref="I11:J11"/>
    <mergeCell ref="M11:N11"/>
    <mergeCell ref="O10:P11"/>
    <mergeCell ref="K10:N10"/>
    <mergeCell ref="C8:D9"/>
    <mergeCell ref="E8:F9"/>
    <mergeCell ref="G8:X8"/>
    <mergeCell ref="G9:N9"/>
    <mergeCell ref="O9:X9"/>
    <mergeCell ref="G10:J10"/>
    <mergeCell ref="Q11:R11"/>
    <mergeCell ref="S11:T11"/>
    <mergeCell ref="A31:B31"/>
    <mergeCell ref="C10:C12"/>
    <mergeCell ref="A32:B32"/>
    <mergeCell ref="D10:D12"/>
    <mergeCell ref="E10:E12"/>
    <mergeCell ref="F10:F12"/>
  </mergeCells>
  <printOptions/>
  <pageMargins left="0.3937007874015748" right="0.3937007874015748" top="1.1811023622047245" bottom="0.5905511811023623" header="0" footer="0"/>
  <pageSetup horizontalDpi="600" verticalDpi="600" orientation="landscape" paperSize="9" scale="51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8"/>
  <sheetViews>
    <sheetView tabSelected="1" zoomScale="80" zoomScaleNormal="80" workbookViewId="0" topLeftCell="A16">
      <selection activeCell="A33" sqref="A33:I33"/>
    </sheetView>
  </sheetViews>
  <sheetFormatPr defaultColWidth="9.00390625" defaultRowHeight="12.75"/>
  <cols>
    <col min="1" max="1" width="8.125" style="48" customWidth="1"/>
    <col min="2" max="2" width="22.375" style="48" customWidth="1"/>
    <col min="3" max="3" width="12.625" style="48" customWidth="1"/>
    <col min="4" max="4" width="11.375" style="48" customWidth="1"/>
    <col min="5" max="5" width="14.875" style="48" customWidth="1"/>
    <col min="6" max="6" width="17.125" style="48" customWidth="1"/>
    <col min="7" max="7" width="20.125" style="48" customWidth="1"/>
    <col min="8" max="8" width="18.75390625" style="48" customWidth="1"/>
    <col min="9" max="9" width="18.375" style="48" customWidth="1"/>
    <col min="10" max="16384" width="9.125" style="48" customWidth="1"/>
  </cols>
  <sheetData>
    <row r="1" spans="9:11" ht="15.75">
      <c r="I1" s="49" t="s">
        <v>103</v>
      </c>
      <c r="J1" s="50"/>
      <c r="K1" s="50"/>
    </row>
    <row r="4" spans="1:13" ht="15.75">
      <c r="A4" s="114" t="s">
        <v>120</v>
      </c>
      <c r="B4" s="114"/>
      <c r="C4" s="114"/>
      <c r="D4" s="114"/>
      <c r="E4" s="114"/>
      <c r="F4" s="114"/>
      <c r="G4" s="114"/>
      <c r="H4" s="114"/>
      <c r="I4" s="114"/>
      <c r="J4" s="51"/>
      <c r="K4" s="51"/>
      <c r="L4" s="51"/>
      <c r="M4" s="51"/>
    </row>
    <row r="5" spans="1:13" ht="15.75">
      <c r="A5" s="114" t="s">
        <v>94</v>
      </c>
      <c r="B5" s="114"/>
      <c r="C5" s="114"/>
      <c r="D5" s="114"/>
      <c r="E5" s="114"/>
      <c r="F5" s="114"/>
      <c r="G5" s="114"/>
      <c r="H5" s="114"/>
      <c r="I5" s="114"/>
      <c r="J5" s="51"/>
      <c r="K5" s="51"/>
      <c r="L5" s="51"/>
      <c r="M5" s="51"/>
    </row>
    <row r="6" spans="1:13" ht="15.75">
      <c r="A6" s="114" t="s">
        <v>123</v>
      </c>
      <c r="B6" s="114"/>
      <c r="C6" s="114"/>
      <c r="D6" s="114"/>
      <c r="E6" s="114"/>
      <c r="F6" s="114"/>
      <c r="G6" s="114"/>
      <c r="H6" s="114"/>
      <c r="I6" s="114"/>
      <c r="J6" s="51"/>
      <c r="K6" s="51"/>
      <c r="L6" s="51"/>
      <c r="M6" s="51"/>
    </row>
    <row r="7" spans="1:13" ht="15.75">
      <c r="A7" s="115" t="s">
        <v>47</v>
      </c>
      <c r="B7" s="115"/>
      <c r="C7" s="115"/>
      <c r="D7" s="115"/>
      <c r="E7" s="115"/>
      <c r="F7" s="115"/>
      <c r="G7" s="115"/>
      <c r="H7" s="115"/>
      <c r="I7" s="115"/>
      <c r="J7" s="51"/>
      <c r="K7" s="51"/>
      <c r="L7" s="51"/>
      <c r="M7" s="51"/>
    </row>
    <row r="8" spans="1:13" ht="15.75">
      <c r="A8" s="114" t="s">
        <v>143</v>
      </c>
      <c r="B8" s="114"/>
      <c r="C8" s="114"/>
      <c r="D8" s="114"/>
      <c r="E8" s="114"/>
      <c r="F8" s="114"/>
      <c r="G8" s="114"/>
      <c r="H8" s="114"/>
      <c r="I8" s="114"/>
      <c r="J8" s="51"/>
      <c r="K8" s="51"/>
      <c r="L8" s="51"/>
      <c r="M8" s="51"/>
    </row>
    <row r="9" spans="2:13" ht="15.75">
      <c r="B9" s="52"/>
      <c r="C9" s="52"/>
      <c r="D9" s="52"/>
      <c r="F9" s="52"/>
      <c r="G9" s="52"/>
      <c r="H9" s="52"/>
      <c r="I9" s="52"/>
      <c r="J9" s="52"/>
      <c r="K9" s="52"/>
      <c r="L9" s="52"/>
      <c r="M9" s="52"/>
    </row>
    <row r="10" ht="15.75">
      <c r="I10" s="53" t="s">
        <v>95</v>
      </c>
    </row>
    <row r="11" spans="1:9" ht="78" customHeight="1">
      <c r="A11" s="54" t="s">
        <v>96</v>
      </c>
      <c r="B11" s="54" t="s">
        <v>115</v>
      </c>
      <c r="C11" s="54" t="s">
        <v>97</v>
      </c>
      <c r="D11" s="54" t="s">
        <v>98</v>
      </c>
      <c r="E11" s="54" t="s">
        <v>114</v>
      </c>
      <c r="F11" s="54" t="s">
        <v>99</v>
      </c>
      <c r="G11" s="54" t="s">
        <v>116</v>
      </c>
      <c r="H11" s="54" t="s">
        <v>100</v>
      </c>
      <c r="I11" s="54" t="s">
        <v>117</v>
      </c>
    </row>
    <row r="12" spans="1:9" ht="15.75">
      <c r="A12" s="55">
        <v>1</v>
      </c>
      <c r="B12" s="56">
        <v>2</v>
      </c>
      <c r="C12" s="56">
        <v>3</v>
      </c>
      <c r="D12" s="56">
        <v>4</v>
      </c>
      <c r="E12" s="56">
        <v>5</v>
      </c>
      <c r="F12" s="56">
        <v>6</v>
      </c>
      <c r="G12" s="56">
        <v>7</v>
      </c>
      <c r="H12" s="56">
        <v>8</v>
      </c>
      <c r="I12" s="56">
        <v>9</v>
      </c>
    </row>
    <row r="13" spans="1:9" ht="31.5">
      <c r="A13" s="55"/>
      <c r="B13" s="56" t="s">
        <v>144</v>
      </c>
      <c r="C13" s="56"/>
      <c r="D13" s="56"/>
      <c r="E13" s="56"/>
      <c r="F13" s="56"/>
      <c r="G13" s="56"/>
      <c r="H13" s="56"/>
      <c r="I13" s="56"/>
    </row>
    <row r="14" spans="1:9" ht="56.25" customHeight="1">
      <c r="A14" s="55">
        <v>1</v>
      </c>
      <c r="B14" s="63" t="s">
        <v>135</v>
      </c>
      <c r="C14" s="64">
        <v>39840</v>
      </c>
      <c r="D14" s="63" t="s">
        <v>125</v>
      </c>
      <c r="E14" s="63">
        <v>50</v>
      </c>
      <c r="F14" s="63">
        <v>47</v>
      </c>
      <c r="G14" s="63"/>
      <c r="H14" s="63">
        <v>3</v>
      </c>
      <c r="I14" s="63">
        <v>6</v>
      </c>
    </row>
    <row r="15" spans="1:9" ht="56.25" customHeight="1">
      <c r="A15" s="55">
        <v>2</v>
      </c>
      <c r="B15" s="63" t="s">
        <v>136</v>
      </c>
      <c r="C15" s="64">
        <v>39996</v>
      </c>
      <c r="D15" s="63" t="s">
        <v>124</v>
      </c>
      <c r="E15" s="63">
        <v>350</v>
      </c>
      <c r="F15" s="63">
        <v>346</v>
      </c>
      <c r="G15" s="63"/>
      <c r="H15" s="63">
        <v>4</v>
      </c>
      <c r="I15" s="63">
        <v>1.1</v>
      </c>
    </row>
    <row r="16" spans="1:9" ht="37.5" customHeight="1">
      <c r="A16" s="55">
        <v>3</v>
      </c>
      <c r="B16" s="57" t="s">
        <v>133</v>
      </c>
      <c r="C16" s="62">
        <v>40009</v>
      </c>
      <c r="D16" s="57" t="s">
        <v>124</v>
      </c>
      <c r="E16" s="57">
        <v>15812</v>
      </c>
      <c r="F16" s="57">
        <v>15000</v>
      </c>
      <c r="G16" s="57"/>
      <c r="H16" s="57">
        <f>E16-F16-G16</f>
        <v>812</v>
      </c>
      <c r="I16" s="65">
        <f>H16/E16*100</f>
        <v>5.1353402479129775</v>
      </c>
    </row>
    <row r="17" spans="1:9" ht="35.25" customHeight="1">
      <c r="A17" s="55"/>
      <c r="B17" s="57" t="s">
        <v>145</v>
      </c>
      <c r="C17" s="62"/>
      <c r="D17" s="57"/>
      <c r="E17" s="57"/>
      <c r="F17" s="57"/>
      <c r="G17" s="57"/>
      <c r="H17" s="57"/>
      <c r="I17" s="65"/>
    </row>
    <row r="18" spans="1:9" ht="56.25" customHeight="1">
      <c r="A18" s="55">
        <v>3</v>
      </c>
      <c r="B18" s="63" t="s">
        <v>137</v>
      </c>
      <c r="C18" s="64">
        <v>39898</v>
      </c>
      <c r="D18" s="63" t="s">
        <v>125</v>
      </c>
      <c r="E18" s="63">
        <v>150</v>
      </c>
      <c r="F18" s="63">
        <v>137</v>
      </c>
      <c r="G18" s="63"/>
      <c r="H18" s="63">
        <v>13</v>
      </c>
      <c r="I18" s="63">
        <v>8.7</v>
      </c>
    </row>
    <row r="19" spans="1:9" ht="56.25" customHeight="1">
      <c r="A19" s="55">
        <v>4</v>
      </c>
      <c r="B19" s="63" t="s">
        <v>138</v>
      </c>
      <c r="C19" s="64">
        <v>39919</v>
      </c>
      <c r="D19" s="63" t="s">
        <v>125</v>
      </c>
      <c r="E19" s="63">
        <v>499</v>
      </c>
      <c r="F19" s="63">
        <v>498.6</v>
      </c>
      <c r="G19" s="63"/>
      <c r="H19" s="63">
        <v>0.4</v>
      </c>
      <c r="I19" s="63">
        <v>0.1</v>
      </c>
    </row>
    <row r="20" spans="1:9" ht="56.25" customHeight="1">
      <c r="A20" s="55">
        <v>5</v>
      </c>
      <c r="B20" s="63" t="s">
        <v>139</v>
      </c>
      <c r="C20" s="64">
        <v>39926</v>
      </c>
      <c r="D20" s="63" t="s">
        <v>125</v>
      </c>
      <c r="E20" s="63">
        <v>499.9</v>
      </c>
      <c r="F20" s="63">
        <v>498.7</v>
      </c>
      <c r="G20" s="63"/>
      <c r="H20" s="63">
        <v>1.2</v>
      </c>
      <c r="I20" s="63">
        <v>0.2</v>
      </c>
    </row>
    <row r="21" spans="1:9" ht="56.25" customHeight="1">
      <c r="A21" s="55">
        <v>6</v>
      </c>
      <c r="B21" s="63" t="s">
        <v>140</v>
      </c>
      <c r="C21" s="64">
        <v>39947</v>
      </c>
      <c r="D21" s="63" t="s">
        <v>125</v>
      </c>
      <c r="E21" s="63">
        <v>260</v>
      </c>
      <c r="F21" s="63">
        <v>199</v>
      </c>
      <c r="G21" s="63"/>
      <c r="H21" s="63">
        <v>61</v>
      </c>
      <c r="I21" s="63">
        <v>23.5</v>
      </c>
    </row>
    <row r="22" spans="1:9" ht="56.25" customHeight="1">
      <c r="A22" s="55">
        <v>7</v>
      </c>
      <c r="B22" s="63" t="s">
        <v>141</v>
      </c>
      <c r="C22" s="64">
        <v>39966</v>
      </c>
      <c r="D22" s="63" t="s">
        <v>124</v>
      </c>
      <c r="E22" s="63">
        <v>6980</v>
      </c>
      <c r="F22" s="63">
        <v>6910</v>
      </c>
      <c r="G22" s="63"/>
      <c r="H22" s="63">
        <v>70</v>
      </c>
      <c r="I22" s="63">
        <v>1</v>
      </c>
    </row>
    <row r="23" spans="1:9" ht="56.25" customHeight="1">
      <c r="A23" s="55">
        <v>8</v>
      </c>
      <c r="B23" s="63" t="s">
        <v>142</v>
      </c>
      <c r="C23" s="64">
        <v>39973</v>
      </c>
      <c r="D23" s="63" t="s">
        <v>125</v>
      </c>
      <c r="E23" s="63">
        <v>350</v>
      </c>
      <c r="F23" s="63">
        <v>300</v>
      </c>
      <c r="G23" s="63"/>
      <c r="H23" s="63">
        <v>50</v>
      </c>
      <c r="I23" s="63">
        <v>14.3</v>
      </c>
    </row>
    <row r="24" spans="1:9" ht="63">
      <c r="A24" s="57">
        <v>9</v>
      </c>
      <c r="B24" s="57" t="s">
        <v>127</v>
      </c>
      <c r="C24" s="62">
        <v>39974</v>
      </c>
      <c r="D24" s="57" t="s">
        <v>124</v>
      </c>
      <c r="E24" s="57">
        <v>1640</v>
      </c>
      <c r="F24" s="57">
        <v>1640</v>
      </c>
      <c r="G24" s="57"/>
      <c r="H24" s="57">
        <f aca="true" t="shared" si="0" ref="H24:H29">E24-F24-G24</f>
        <v>0</v>
      </c>
      <c r="I24" s="65">
        <f aca="true" t="shared" si="1" ref="I24:I31">H24/E24*100</f>
        <v>0</v>
      </c>
    </row>
    <row r="25" spans="1:9" ht="78.75">
      <c r="A25" s="57">
        <v>10</v>
      </c>
      <c r="B25" s="57" t="s">
        <v>128</v>
      </c>
      <c r="C25" s="62">
        <v>40023</v>
      </c>
      <c r="D25" s="57" t="s">
        <v>125</v>
      </c>
      <c r="E25" s="57">
        <v>300</v>
      </c>
      <c r="F25" s="57">
        <v>249</v>
      </c>
      <c r="G25" s="57"/>
      <c r="H25" s="57">
        <f t="shared" si="0"/>
        <v>51</v>
      </c>
      <c r="I25" s="65">
        <f t="shared" si="1"/>
        <v>17</v>
      </c>
    </row>
    <row r="26" spans="1:9" ht="31.5">
      <c r="A26" s="57">
        <v>11</v>
      </c>
      <c r="B26" s="57" t="s">
        <v>129</v>
      </c>
      <c r="C26" s="62">
        <v>40024</v>
      </c>
      <c r="D26" s="57" t="s">
        <v>125</v>
      </c>
      <c r="E26" s="57">
        <v>450</v>
      </c>
      <c r="F26" s="57">
        <v>449</v>
      </c>
      <c r="G26" s="57"/>
      <c r="H26" s="57">
        <f t="shared" si="0"/>
        <v>1</v>
      </c>
      <c r="I26" s="65">
        <f t="shared" si="1"/>
        <v>0.2222222222222222</v>
      </c>
    </row>
    <row r="27" spans="1:9" ht="47.25">
      <c r="A27" s="57">
        <v>12</v>
      </c>
      <c r="B27" s="57" t="s">
        <v>130</v>
      </c>
      <c r="C27" s="62">
        <v>40025</v>
      </c>
      <c r="D27" s="57" t="s">
        <v>125</v>
      </c>
      <c r="E27" s="57">
        <v>390</v>
      </c>
      <c r="F27" s="57">
        <v>389</v>
      </c>
      <c r="G27" s="57"/>
      <c r="H27" s="57">
        <f t="shared" si="0"/>
        <v>1</v>
      </c>
      <c r="I27" s="65">
        <f t="shared" si="1"/>
        <v>0.2564102564102564</v>
      </c>
    </row>
    <row r="28" spans="1:9" ht="63">
      <c r="A28" s="57">
        <v>13</v>
      </c>
      <c r="B28" s="57" t="s">
        <v>131</v>
      </c>
      <c r="C28" s="62">
        <v>40036</v>
      </c>
      <c r="D28" s="57" t="s">
        <v>125</v>
      </c>
      <c r="E28" s="57">
        <v>499</v>
      </c>
      <c r="F28" s="57">
        <v>499</v>
      </c>
      <c r="G28" s="57"/>
      <c r="H28" s="57">
        <f t="shared" si="0"/>
        <v>0</v>
      </c>
      <c r="I28" s="65">
        <f t="shared" si="1"/>
        <v>0</v>
      </c>
    </row>
    <row r="29" spans="1:9" ht="31.5">
      <c r="A29" s="57">
        <v>14</v>
      </c>
      <c r="B29" s="57" t="s">
        <v>132</v>
      </c>
      <c r="C29" s="62">
        <v>40046</v>
      </c>
      <c r="D29" s="57" t="s">
        <v>125</v>
      </c>
      <c r="E29" s="57">
        <v>260</v>
      </c>
      <c r="F29" s="57">
        <v>259.8</v>
      </c>
      <c r="G29" s="57"/>
      <c r="H29" s="57">
        <f t="shared" si="0"/>
        <v>0.19999999999998863</v>
      </c>
      <c r="I29" s="65">
        <f t="shared" si="1"/>
        <v>0.07692307692307256</v>
      </c>
    </row>
    <row r="30" spans="1:9" ht="15.75">
      <c r="A30" s="57"/>
      <c r="B30" s="57"/>
      <c r="C30" s="62"/>
      <c r="D30" s="57"/>
      <c r="E30" s="57"/>
      <c r="F30" s="57"/>
      <c r="G30" s="57"/>
      <c r="H30" s="57"/>
      <c r="I30" s="65"/>
    </row>
    <row r="31" spans="1:9" ht="15.75">
      <c r="A31" s="57"/>
      <c r="B31" s="58" t="s">
        <v>101</v>
      </c>
      <c r="C31" s="59"/>
      <c r="D31" s="59"/>
      <c r="E31" s="59">
        <f>SUM(E14:E30)</f>
        <v>28489.9</v>
      </c>
      <c r="F31" s="59">
        <f>SUM(F14:F30)</f>
        <v>27422.1</v>
      </c>
      <c r="G31" s="59"/>
      <c r="H31" s="59">
        <f>SUM(H14:H30)</f>
        <v>1067.8</v>
      </c>
      <c r="I31" s="65">
        <f t="shared" si="1"/>
        <v>3.7479949034570144</v>
      </c>
    </row>
    <row r="32" ht="15.75">
      <c r="A32" s="60" t="s">
        <v>102</v>
      </c>
    </row>
    <row r="33" spans="1:9" ht="18.75">
      <c r="A33" s="112"/>
      <c r="B33" s="112"/>
      <c r="C33" s="112"/>
      <c r="D33" s="112"/>
      <c r="E33" s="112"/>
      <c r="F33" s="112"/>
      <c r="G33" s="112"/>
      <c r="H33" s="112"/>
      <c r="I33" s="112"/>
    </row>
    <row r="34" spans="1:9" ht="18.75">
      <c r="A34" s="112"/>
      <c r="B34" s="112"/>
      <c r="C34" s="112"/>
      <c r="D34" s="112"/>
      <c r="E34" s="112"/>
      <c r="F34" s="112"/>
      <c r="G34" s="112"/>
      <c r="H34" s="112"/>
      <c r="I34" s="112"/>
    </row>
    <row r="35" spans="1:11" ht="48.75" customHeight="1">
      <c r="A35" s="113"/>
      <c r="B35" s="113"/>
      <c r="C35" s="113"/>
      <c r="D35" s="113"/>
      <c r="E35" s="113"/>
      <c r="F35" s="113"/>
      <c r="G35" s="113"/>
      <c r="H35" s="113"/>
      <c r="I35" s="113"/>
      <c r="J35" s="61"/>
      <c r="K35" s="61"/>
    </row>
    <row r="36" ht="32.25" customHeight="1"/>
    <row r="37" ht="15.75">
      <c r="G37" s="60"/>
    </row>
    <row r="38" ht="15.75">
      <c r="G38" s="60"/>
    </row>
  </sheetData>
  <sheetProtection/>
  <mergeCells count="8">
    <mergeCell ref="A34:I34"/>
    <mergeCell ref="A35:I35"/>
    <mergeCell ref="A4:I4"/>
    <mergeCell ref="A5:I5"/>
    <mergeCell ref="A6:I6"/>
    <mergeCell ref="A7:I7"/>
    <mergeCell ref="A8:I8"/>
    <mergeCell ref="A33:I33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`</dc:creator>
  <cp:keywords/>
  <dc:description/>
  <cp:lastModifiedBy>econ1</cp:lastModifiedBy>
  <cp:lastPrinted>2009-11-02T05:33:02Z</cp:lastPrinted>
  <dcterms:created xsi:type="dcterms:W3CDTF">2006-02-27T11:22:09Z</dcterms:created>
  <dcterms:modified xsi:type="dcterms:W3CDTF">2009-12-11T08:57:14Z</dcterms:modified>
  <cp:category/>
  <cp:version/>
  <cp:contentType/>
  <cp:contentStatus/>
</cp:coreProperties>
</file>